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Matt Gismondi\Box\SVEF\3. Benchmarking\Country Surveys\India &amp; UK\2021 India &amp; UK\UK\Reporting\Master File\"/>
    </mc:Choice>
  </mc:AlternateContent>
  <xr:revisionPtr revIDLastSave="0" documentId="13_ncr:1_{8E37DC9C-8597-4200-8FB4-AC7915CB79F8}" xr6:coauthVersionLast="46" xr6:coauthVersionMax="46" xr10:uidLastSave="{00000000-0000-0000-0000-000000000000}"/>
  <bookViews>
    <workbookView xWindow="-120" yWindow="-120" windowWidth="29040" windowHeight="15840" tabRatio="913" xr2:uid="{00000000-000D-0000-FFFF-FFFF00000000}"/>
  </bookViews>
  <sheets>
    <sheet name="Instructions" sheetId="14" r:id="rId1"/>
    <sheet name="Index" sheetId="1" r:id="rId2"/>
    <sheet name="Private Medical Insurance" sheetId="3" r:id="rId3"/>
    <sheet name="Dental &amp; Vision" sheetId="4" r:id="rId4"/>
    <sheet name="Life,Accident,Critical Illness" sheetId="5" r:id="rId5"/>
    <sheet name="Short &amp; Long Term Disability" sheetId="6" r:id="rId6"/>
    <sheet name="Retirement" sheetId="7" r:id="rId7"/>
    <sheet name="Wellness" sheetId="8" r:id="rId8"/>
    <sheet name="EAP" sheetId="9" r:id="rId9"/>
    <sheet name="Leaves" sheetId="10" r:id="rId10"/>
    <sheet name="Voluntary Benefits" sheetId="11" r:id="rId11"/>
    <sheet name="Perks &amp; Allowances" sheetId="12" r:id="rId12"/>
    <sheet name="Transportation Policy" sheetId="13" r:id="rId13"/>
  </sheets>
  <definedNames>
    <definedName name="_xlnm._FilterDatabase" localSheetId="3" hidden="1">'Dental &amp; Vision'!$A$2:$BZ$59</definedName>
    <definedName name="_xlnm._FilterDatabase" localSheetId="8" hidden="1">EAP!$A$2:$AA$2</definedName>
    <definedName name="_xlnm._FilterDatabase" localSheetId="9" hidden="1">Leaves!$A$2:$FP$61</definedName>
    <definedName name="_xlnm._FilterDatabase" localSheetId="4" hidden="1">'Life,Accident,Critical Illness'!$A$2:$CW$60</definedName>
    <definedName name="_xlnm._FilterDatabase" localSheetId="11" hidden="1">'Perks &amp; Allowances'!$A$2:$DS$61</definedName>
    <definedName name="_xlnm._FilterDatabase" localSheetId="2" hidden="1">'Private Medical Insurance'!$A$2:$CK$61</definedName>
    <definedName name="_xlnm._FilterDatabase" localSheetId="6" hidden="1">Retirement!$A$2:$CH$2</definedName>
    <definedName name="_xlnm._FilterDatabase" localSheetId="5" hidden="1">'Short &amp; Long Term Disability'!$A$2:$CF$61</definedName>
    <definedName name="_xlnm._FilterDatabase" localSheetId="12" hidden="1">'Transportation Policy'!$A$2:$DH$61</definedName>
    <definedName name="_xlnm._FilterDatabase" localSheetId="10" hidden="1">'Voluntary Benefits'!$A$2:$F$61</definedName>
    <definedName name="_xlnm._FilterDatabase" localSheetId="7" hidden="1">Wellness!$A$2:$AH$2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12" i="1" l="1"/>
  <c r="U112" i="1"/>
  <c r="V111" i="1"/>
  <c r="U111" i="1"/>
  <c r="V110" i="1"/>
  <c r="U110" i="1"/>
  <c r="V109" i="1"/>
  <c r="U109" i="1"/>
  <c r="V108" i="1"/>
  <c r="U108" i="1"/>
  <c r="V107" i="1"/>
  <c r="U107" i="1"/>
  <c r="V106" i="1"/>
  <c r="U106" i="1"/>
  <c r="V105" i="1"/>
  <c r="U105" i="1"/>
  <c r="V104" i="1"/>
  <c r="U104" i="1"/>
  <c r="V103" i="1"/>
  <c r="U103" i="1"/>
  <c r="V102" i="1"/>
  <c r="U102" i="1"/>
  <c r="V101" i="1"/>
  <c r="U101" i="1"/>
  <c r="V100" i="1"/>
  <c r="U100" i="1"/>
  <c r="V99" i="1"/>
  <c r="U99" i="1"/>
  <c r="V98" i="1"/>
  <c r="U98" i="1"/>
  <c r="V97" i="1"/>
  <c r="U97" i="1"/>
  <c r="V96" i="1"/>
  <c r="U96" i="1"/>
  <c r="V95" i="1"/>
  <c r="U95" i="1"/>
  <c r="V94" i="1"/>
  <c r="U94" i="1"/>
  <c r="V93" i="1"/>
  <c r="U93" i="1"/>
  <c r="V92" i="1"/>
  <c r="U92" i="1"/>
  <c r="V91" i="1"/>
  <c r="U91" i="1"/>
  <c r="V90" i="1"/>
  <c r="U90" i="1"/>
  <c r="V89" i="1"/>
  <c r="U89" i="1"/>
  <c r="V88" i="1"/>
  <c r="U88" i="1"/>
  <c r="V87" i="1"/>
  <c r="U87" i="1"/>
  <c r="V86" i="1"/>
  <c r="U86" i="1"/>
  <c r="V85" i="1"/>
  <c r="U85" i="1"/>
  <c r="V84" i="1"/>
  <c r="U84" i="1"/>
  <c r="V83" i="1"/>
  <c r="U83" i="1"/>
  <c r="V82" i="1"/>
  <c r="U82" i="1"/>
  <c r="V81" i="1"/>
  <c r="U81" i="1"/>
  <c r="V80" i="1"/>
  <c r="U80" i="1"/>
  <c r="V79" i="1"/>
  <c r="U79" i="1"/>
  <c r="V78" i="1"/>
  <c r="U78" i="1"/>
  <c r="V77" i="1"/>
  <c r="U77" i="1"/>
  <c r="V76" i="1"/>
  <c r="U76" i="1"/>
  <c r="V75" i="1"/>
  <c r="U75" i="1"/>
  <c r="V74" i="1"/>
  <c r="U74" i="1"/>
  <c r="V73" i="1"/>
  <c r="U73" i="1"/>
  <c r="V72" i="1"/>
  <c r="U72" i="1"/>
  <c r="V71" i="1"/>
  <c r="U71" i="1"/>
  <c r="V70" i="1"/>
  <c r="U70" i="1"/>
  <c r="V69" i="1"/>
  <c r="U69" i="1"/>
  <c r="V68" i="1"/>
  <c r="U68" i="1"/>
  <c r="V67" i="1"/>
  <c r="U67" i="1"/>
  <c r="V66" i="1"/>
  <c r="U66" i="1"/>
  <c r="V65" i="1"/>
  <c r="U65" i="1"/>
  <c r="V64" i="1"/>
  <c r="U64" i="1"/>
  <c r="V63" i="1"/>
  <c r="U63" i="1"/>
  <c r="V62" i="1"/>
  <c r="U62" i="1"/>
  <c r="V61" i="1"/>
  <c r="U61" i="1"/>
  <c r="V60" i="1"/>
  <c r="U60" i="1"/>
  <c r="V59" i="1"/>
  <c r="U59" i="1"/>
  <c r="V58" i="1"/>
  <c r="U58" i="1"/>
  <c r="V57" i="1"/>
  <c r="U57" i="1"/>
  <c r="V56" i="1"/>
  <c r="U56" i="1"/>
  <c r="V55" i="1"/>
  <c r="U55" i="1"/>
  <c r="V54" i="1"/>
  <c r="U54" i="1"/>
  <c r="V53" i="1"/>
  <c r="U53" i="1"/>
  <c r="V52" i="1"/>
  <c r="U52" i="1"/>
  <c r="V51" i="1"/>
  <c r="U51" i="1"/>
  <c r="V50" i="1"/>
  <c r="U50" i="1"/>
  <c r="V49" i="1"/>
  <c r="U49" i="1"/>
  <c r="V48" i="1"/>
  <c r="U48" i="1"/>
  <c r="V47" i="1"/>
  <c r="U47" i="1"/>
  <c r="V46" i="1"/>
  <c r="U46" i="1"/>
  <c r="V45" i="1"/>
  <c r="U45" i="1"/>
  <c r="V44" i="1"/>
  <c r="U44" i="1"/>
  <c r="V43" i="1"/>
  <c r="U43" i="1"/>
  <c r="V42" i="1"/>
  <c r="U42" i="1"/>
  <c r="V41" i="1"/>
  <c r="U41" i="1"/>
  <c r="V40" i="1"/>
  <c r="U40" i="1"/>
  <c r="V39" i="1"/>
  <c r="U39" i="1"/>
  <c r="V38" i="1"/>
  <c r="U38" i="1"/>
  <c r="V37" i="1"/>
  <c r="U37" i="1"/>
  <c r="V36" i="1"/>
  <c r="U36" i="1"/>
  <c r="V35" i="1"/>
  <c r="U35" i="1"/>
  <c r="V34" i="1"/>
  <c r="U34" i="1"/>
  <c r="V33" i="1"/>
  <c r="U33" i="1"/>
  <c r="V32" i="1"/>
  <c r="U32" i="1"/>
  <c r="V31" i="1"/>
  <c r="U31" i="1"/>
  <c r="V30" i="1"/>
  <c r="U30" i="1"/>
  <c r="V29" i="1"/>
  <c r="U29" i="1"/>
  <c r="V28" i="1"/>
  <c r="U28" i="1"/>
  <c r="V27" i="1"/>
  <c r="U27" i="1"/>
  <c r="V26" i="1"/>
  <c r="U26" i="1"/>
  <c r="V25" i="1"/>
  <c r="U25" i="1"/>
  <c r="V24" i="1"/>
  <c r="U24" i="1"/>
  <c r="V23" i="1"/>
  <c r="U23" i="1"/>
  <c r="V22" i="1"/>
  <c r="U22" i="1"/>
  <c r="V21" i="1"/>
  <c r="U21" i="1"/>
  <c r="V20" i="1"/>
  <c r="U20" i="1"/>
  <c r="V19" i="1"/>
  <c r="U19" i="1"/>
  <c r="V18" i="1"/>
  <c r="U18" i="1"/>
  <c r="V17" i="1"/>
  <c r="U17" i="1"/>
  <c r="V16" i="1"/>
  <c r="U16" i="1"/>
  <c r="V15" i="1"/>
  <c r="U15" i="1"/>
  <c r="V14" i="1"/>
  <c r="U14" i="1"/>
  <c r="V13" i="1"/>
  <c r="U13" i="1"/>
  <c r="V12" i="1"/>
  <c r="U12" i="1"/>
  <c r="V11" i="1"/>
  <c r="U11" i="1"/>
  <c r="V10" i="1"/>
  <c r="U10" i="1"/>
  <c r="V9" i="1"/>
  <c r="U9" i="1"/>
  <c r="V8" i="1"/>
  <c r="U8" i="1"/>
  <c r="V7" i="1"/>
  <c r="U7" i="1"/>
  <c r="V6" i="1"/>
  <c r="U6" i="1"/>
  <c r="V5" i="1"/>
  <c r="U5" i="1"/>
  <c r="V4" i="1"/>
  <c r="U4" i="1"/>
  <c r="V3" i="1"/>
  <c r="U3" i="1"/>
  <c r="V2" i="1"/>
  <c r="U2" i="1"/>
  <c r="T123" i="1"/>
  <c r="S123" i="1"/>
  <c r="T122" i="1"/>
  <c r="S122" i="1"/>
  <c r="T121" i="1"/>
  <c r="S121" i="1"/>
  <c r="T120" i="1"/>
  <c r="S120" i="1"/>
  <c r="T119" i="1"/>
  <c r="S119" i="1"/>
  <c r="T118" i="1"/>
  <c r="S118" i="1"/>
  <c r="T117" i="1"/>
  <c r="S117" i="1"/>
  <c r="T116" i="1"/>
  <c r="S116" i="1"/>
  <c r="T115" i="1"/>
  <c r="S115" i="1"/>
  <c r="T114" i="1"/>
  <c r="S114" i="1"/>
  <c r="T113" i="1"/>
  <c r="S113" i="1"/>
  <c r="T112" i="1"/>
  <c r="S112" i="1"/>
  <c r="T111" i="1"/>
  <c r="S111" i="1"/>
  <c r="T110" i="1"/>
  <c r="S110" i="1"/>
  <c r="T109" i="1"/>
  <c r="S109" i="1"/>
  <c r="T108" i="1"/>
  <c r="S108" i="1"/>
  <c r="T107" i="1"/>
  <c r="S107" i="1"/>
  <c r="T106" i="1"/>
  <c r="S106" i="1"/>
  <c r="T105" i="1"/>
  <c r="S105" i="1"/>
  <c r="T104" i="1"/>
  <c r="S104" i="1"/>
  <c r="T103" i="1"/>
  <c r="S103" i="1"/>
  <c r="T102" i="1"/>
  <c r="S102" i="1"/>
  <c r="T101" i="1"/>
  <c r="S101" i="1"/>
  <c r="T100" i="1"/>
  <c r="S100" i="1"/>
  <c r="T99" i="1"/>
  <c r="S99" i="1"/>
  <c r="T98" i="1"/>
  <c r="S98" i="1"/>
  <c r="T97" i="1"/>
  <c r="S97" i="1"/>
  <c r="T96" i="1"/>
  <c r="S96" i="1"/>
  <c r="T95" i="1"/>
  <c r="S95" i="1"/>
  <c r="T94" i="1"/>
  <c r="S94" i="1"/>
  <c r="T93" i="1"/>
  <c r="S93" i="1"/>
  <c r="T92" i="1"/>
  <c r="S92" i="1"/>
  <c r="T91" i="1"/>
  <c r="S91" i="1"/>
  <c r="T90" i="1"/>
  <c r="S90" i="1"/>
  <c r="T89" i="1"/>
  <c r="S89" i="1"/>
  <c r="T88" i="1"/>
  <c r="S88" i="1"/>
  <c r="T87" i="1"/>
  <c r="S87" i="1"/>
  <c r="T86" i="1"/>
  <c r="S86" i="1"/>
  <c r="T85" i="1"/>
  <c r="S85" i="1"/>
  <c r="T84" i="1"/>
  <c r="S84" i="1"/>
  <c r="T83" i="1"/>
  <c r="S83" i="1"/>
  <c r="T82" i="1"/>
  <c r="S82" i="1"/>
  <c r="T81" i="1"/>
  <c r="S81" i="1"/>
  <c r="T80" i="1"/>
  <c r="S80" i="1"/>
  <c r="T79" i="1"/>
  <c r="S79" i="1"/>
  <c r="T78" i="1"/>
  <c r="S78" i="1"/>
  <c r="T77" i="1"/>
  <c r="S77" i="1"/>
  <c r="T76" i="1"/>
  <c r="S76" i="1"/>
  <c r="T75" i="1"/>
  <c r="S75" i="1"/>
  <c r="T74" i="1"/>
  <c r="S74" i="1"/>
  <c r="T73" i="1"/>
  <c r="S73" i="1"/>
  <c r="T72" i="1"/>
  <c r="S72" i="1"/>
  <c r="T71" i="1"/>
  <c r="S71" i="1"/>
  <c r="T70" i="1"/>
  <c r="S70" i="1"/>
  <c r="T69" i="1"/>
  <c r="S69" i="1"/>
  <c r="T68" i="1"/>
  <c r="S68" i="1"/>
  <c r="T67" i="1"/>
  <c r="S67" i="1"/>
  <c r="T66" i="1"/>
  <c r="S66" i="1"/>
  <c r="T65" i="1"/>
  <c r="S65" i="1"/>
  <c r="T64" i="1"/>
  <c r="S64" i="1"/>
  <c r="T63" i="1"/>
  <c r="S63" i="1"/>
  <c r="T62" i="1"/>
  <c r="S62" i="1"/>
  <c r="T61" i="1"/>
  <c r="S61" i="1"/>
  <c r="T60" i="1"/>
  <c r="S60" i="1"/>
  <c r="T59" i="1"/>
  <c r="S59" i="1"/>
  <c r="T58" i="1"/>
  <c r="S58" i="1"/>
  <c r="T57" i="1"/>
  <c r="S57" i="1"/>
  <c r="T56" i="1"/>
  <c r="S56" i="1"/>
  <c r="T55" i="1"/>
  <c r="S55" i="1"/>
  <c r="T54" i="1"/>
  <c r="S54" i="1"/>
  <c r="T53" i="1"/>
  <c r="S53" i="1"/>
  <c r="T52" i="1"/>
  <c r="S52" i="1"/>
  <c r="T51" i="1"/>
  <c r="S51" i="1"/>
  <c r="T50" i="1"/>
  <c r="S50" i="1"/>
  <c r="T49" i="1"/>
  <c r="S49" i="1"/>
  <c r="T48" i="1"/>
  <c r="S48" i="1"/>
  <c r="T47" i="1"/>
  <c r="S47" i="1"/>
  <c r="T46" i="1"/>
  <c r="S46" i="1"/>
  <c r="T45" i="1"/>
  <c r="S45" i="1"/>
  <c r="T44" i="1"/>
  <c r="S44" i="1"/>
  <c r="T43" i="1"/>
  <c r="S43" i="1"/>
  <c r="T42" i="1"/>
  <c r="S42" i="1"/>
  <c r="T41" i="1"/>
  <c r="S41" i="1"/>
  <c r="T40" i="1"/>
  <c r="S40" i="1"/>
  <c r="T39" i="1"/>
  <c r="S39" i="1"/>
  <c r="T38" i="1"/>
  <c r="S38" i="1"/>
  <c r="T37" i="1"/>
  <c r="S37" i="1"/>
  <c r="T36" i="1"/>
  <c r="S36" i="1"/>
  <c r="T35" i="1"/>
  <c r="S35" i="1"/>
  <c r="T34" i="1"/>
  <c r="S34" i="1"/>
  <c r="T33" i="1"/>
  <c r="S33" i="1"/>
  <c r="T32" i="1"/>
  <c r="S32" i="1"/>
  <c r="T31" i="1"/>
  <c r="S31" i="1"/>
  <c r="T30" i="1"/>
  <c r="S30" i="1"/>
  <c r="T29" i="1"/>
  <c r="S29" i="1"/>
  <c r="T28" i="1"/>
  <c r="S28" i="1"/>
  <c r="T27" i="1"/>
  <c r="S27" i="1"/>
  <c r="T26" i="1"/>
  <c r="S26" i="1"/>
  <c r="T25" i="1"/>
  <c r="S25" i="1"/>
  <c r="T24" i="1"/>
  <c r="S24" i="1"/>
  <c r="T23" i="1"/>
  <c r="S23" i="1"/>
  <c r="T22" i="1"/>
  <c r="S22" i="1"/>
  <c r="T21" i="1"/>
  <c r="S21" i="1"/>
  <c r="T20" i="1"/>
  <c r="S20" i="1"/>
  <c r="T19" i="1"/>
  <c r="S19" i="1"/>
  <c r="T18" i="1"/>
  <c r="S18" i="1"/>
  <c r="T17" i="1"/>
  <c r="S17" i="1"/>
  <c r="T16" i="1"/>
  <c r="S16" i="1"/>
  <c r="T15" i="1"/>
  <c r="S15" i="1"/>
  <c r="T14" i="1"/>
  <c r="S14" i="1"/>
  <c r="T13" i="1"/>
  <c r="S13" i="1"/>
  <c r="T12" i="1"/>
  <c r="S12" i="1"/>
  <c r="T11" i="1"/>
  <c r="S11" i="1"/>
  <c r="T10" i="1"/>
  <c r="S10" i="1"/>
  <c r="T9" i="1"/>
  <c r="S9" i="1"/>
  <c r="T8" i="1"/>
  <c r="S8" i="1"/>
  <c r="T7" i="1"/>
  <c r="S7" i="1"/>
  <c r="T6" i="1"/>
  <c r="S6" i="1"/>
  <c r="T5" i="1"/>
  <c r="S5" i="1"/>
  <c r="T4" i="1"/>
  <c r="S4" i="1"/>
  <c r="T3" i="1"/>
  <c r="S3" i="1"/>
  <c r="T2" i="1"/>
  <c r="S2" i="1"/>
  <c r="R6" i="1"/>
  <c r="Q6" i="1"/>
  <c r="R5" i="1"/>
  <c r="Q5" i="1"/>
  <c r="R4" i="1"/>
  <c r="Q4" i="1"/>
  <c r="R3" i="1"/>
  <c r="Q3" i="1"/>
  <c r="R2" i="1"/>
  <c r="Q2" i="1"/>
  <c r="P172" i="1"/>
  <c r="O172" i="1"/>
  <c r="P171" i="1"/>
  <c r="O171" i="1"/>
  <c r="P170" i="1"/>
  <c r="O170" i="1"/>
  <c r="P169" i="1"/>
  <c r="O169" i="1"/>
  <c r="P168" i="1"/>
  <c r="O168" i="1"/>
  <c r="P167" i="1"/>
  <c r="O167" i="1"/>
  <c r="P166" i="1"/>
  <c r="O166" i="1"/>
  <c r="P165" i="1"/>
  <c r="O165" i="1"/>
  <c r="P164" i="1"/>
  <c r="O164" i="1"/>
  <c r="P163" i="1"/>
  <c r="O163" i="1"/>
  <c r="P162" i="1"/>
  <c r="O162" i="1"/>
  <c r="P161" i="1"/>
  <c r="O161" i="1"/>
  <c r="P160" i="1"/>
  <c r="O160" i="1"/>
  <c r="P159" i="1"/>
  <c r="O159" i="1"/>
  <c r="P158" i="1"/>
  <c r="O158" i="1"/>
  <c r="P157" i="1"/>
  <c r="O157" i="1"/>
  <c r="P156" i="1"/>
  <c r="O156" i="1"/>
  <c r="P155" i="1"/>
  <c r="O155" i="1"/>
  <c r="P154" i="1"/>
  <c r="O154" i="1"/>
  <c r="P153" i="1"/>
  <c r="O153" i="1"/>
  <c r="P152" i="1"/>
  <c r="O152" i="1"/>
  <c r="P151" i="1"/>
  <c r="O151" i="1"/>
  <c r="P150" i="1"/>
  <c r="O150" i="1"/>
  <c r="P149" i="1"/>
  <c r="O149" i="1"/>
  <c r="P148" i="1"/>
  <c r="O148" i="1"/>
  <c r="P147" i="1"/>
  <c r="O147" i="1"/>
  <c r="P146" i="1"/>
  <c r="O146" i="1"/>
  <c r="P145" i="1"/>
  <c r="O145" i="1"/>
  <c r="P144" i="1"/>
  <c r="O144" i="1"/>
  <c r="P143" i="1"/>
  <c r="O143" i="1"/>
  <c r="P142" i="1"/>
  <c r="O142" i="1"/>
  <c r="P141" i="1"/>
  <c r="O141" i="1"/>
  <c r="P140" i="1"/>
  <c r="O140" i="1"/>
  <c r="P139" i="1"/>
  <c r="O139" i="1"/>
  <c r="P138" i="1"/>
  <c r="O138" i="1"/>
  <c r="P137" i="1"/>
  <c r="O137" i="1"/>
  <c r="P136" i="1"/>
  <c r="O136" i="1"/>
  <c r="P135" i="1"/>
  <c r="O135" i="1"/>
  <c r="P134" i="1"/>
  <c r="O134" i="1"/>
  <c r="P133" i="1"/>
  <c r="O133" i="1"/>
  <c r="P132" i="1"/>
  <c r="O132" i="1"/>
  <c r="P131" i="1"/>
  <c r="O131" i="1"/>
  <c r="P130" i="1"/>
  <c r="O130" i="1"/>
  <c r="P129" i="1"/>
  <c r="O129" i="1"/>
  <c r="P128" i="1"/>
  <c r="O128" i="1"/>
  <c r="P127" i="1"/>
  <c r="O127" i="1"/>
  <c r="P126" i="1"/>
  <c r="O126" i="1"/>
  <c r="P125" i="1"/>
  <c r="O125" i="1"/>
  <c r="P124" i="1"/>
  <c r="O124" i="1"/>
  <c r="P123" i="1"/>
  <c r="O123" i="1"/>
  <c r="P122" i="1"/>
  <c r="O122" i="1"/>
  <c r="P121" i="1"/>
  <c r="O121" i="1"/>
  <c r="P120" i="1"/>
  <c r="O120" i="1"/>
  <c r="P119" i="1"/>
  <c r="O119" i="1"/>
  <c r="P118" i="1"/>
  <c r="O118" i="1"/>
  <c r="P117" i="1"/>
  <c r="O117" i="1"/>
  <c r="P116" i="1"/>
  <c r="O116" i="1"/>
  <c r="P115" i="1"/>
  <c r="O115" i="1"/>
  <c r="P114" i="1"/>
  <c r="O114" i="1"/>
  <c r="P113" i="1"/>
  <c r="O113" i="1"/>
  <c r="P112" i="1"/>
  <c r="O112" i="1"/>
  <c r="P111" i="1"/>
  <c r="O111" i="1"/>
  <c r="P110" i="1"/>
  <c r="O110" i="1"/>
  <c r="P109" i="1"/>
  <c r="O109" i="1"/>
  <c r="P108" i="1"/>
  <c r="O108" i="1"/>
  <c r="P107" i="1"/>
  <c r="O107" i="1"/>
  <c r="P106" i="1"/>
  <c r="O106" i="1"/>
  <c r="P105" i="1"/>
  <c r="O105" i="1"/>
  <c r="P104" i="1"/>
  <c r="O104" i="1"/>
  <c r="P103" i="1"/>
  <c r="O103" i="1"/>
  <c r="P102" i="1"/>
  <c r="O102" i="1"/>
  <c r="P101" i="1"/>
  <c r="O101" i="1"/>
  <c r="P100" i="1"/>
  <c r="O100" i="1"/>
  <c r="P99" i="1"/>
  <c r="O99" i="1"/>
  <c r="P98" i="1"/>
  <c r="O98" i="1"/>
  <c r="P97" i="1"/>
  <c r="O97" i="1"/>
  <c r="P96" i="1"/>
  <c r="O96" i="1"/>
  <c r="P95" i="1"/>
  <c r="O95" i="1"/>
  <c r="P94" i="1"/>
  <c r="O94" i="1"/>
  <c r="P93" i="1"/>
  <c r="O93" i="1"/>
  <c r="P92" i="1"/>
  <c r="O92" i="1"/>
  <c r="P91" i="1"/>
  <c r="O91" i="1"/>
  <c r="P90" i="1"/>
  <c r="O90" i="1"/>
  <c r="P89" i="1"/>
  <c r="O89" i="1"/>
  <c r="P88" i="1"/>
  <c r="O88" i="1"/>
  <c r="P87" i="1"/>
  <c r="O87" i="1"/>
  <c r="P86" i="1"/>
  <c r="O86" i="1"/>
  <c r="P85" i="1"/>
  <c r="O85" i="1"/>
  <c r="P84" i="1"/>
  <c r="O84" i="1"/>
  <c r="P83" i="1"/>
  <c r="O83" i="1"/>
  <c r="P82" i="1"/>
  <c r="O82" i="1"/>
  <c r="P81" i="1"/>
  <c r="O81" i="1"/>
  <c r="P80" i="1"/>
  <c r="O80" i="1"/>
  <c r="P79" i="1"/>
  <c r="O79" i="1"/>
  <c r="P78" i="1"/>
  <c r="O78" i="1"/>
  <c r="P77" i="1"/>
  <c r="O77" i="1"/>
  <c r="P76" i="1"/>
  <c r="O76" i="1"/>
  <c r="P75" i="1"/>
  <c r="O75" i="1"/>
  <c r="P74" i="1"/>
  <c r="O74" i="1"/>
  <c r="P73" i="1"/>
  <c r="O73" i="1"/>
  <c r="P72" i="1"/>
  <c r="O72" i="1"/>
  <c r="P71" i="1"/>
  <c r="O71" i="1"/>
  <c r="P70" i="1"/>
  <c r="O70" i="1"/>
  <c r="P69" i="1"/>
  <c r="O69" i="1"/>
  <c r="P68" i="1"/>
  <c r="O68" i="1"/>
  <c r="P67" i="1"/>
  <c r="O67" i="1"/>
  <c r="P66" i="1"/>
  <c r="O66" i="1"/>
  <c r="P65" i="1"/>
  <c r="O65" i="1"/>
  <c r="P64" i="1"/>
  <c r="O64" i="1"/>
  <c r="P63" i="1"/>
  <c r="O63" i="1"/>
  <c r="P62" i="1"/>
  <c r="O62" i="1"/>
  <c r="P61" i="1"/>
  <c r="O61" i="1"/>
  <c r="P60" i="1"/>
  <c r="O60" i="1"/>
  <c r="P59" i="1"/>
  <c r="O59" i="1"/>
  <c r="P58" i="1"/>
  <c r="O58" i="1"/>
  <c r="P57" i="1"/>
  <c r="O57" i="1"/>
  <c r="P56" i="1"/>
  <c r="O56" i="1"/>
  <c r="P55" i="1"/>
  <c r="O55" i="1"/>
  <c r="P54" i="1"/>
  <c r="O54" i="1"/>
  <c r="P53" i="1"/>
  <c r="O53" i="1"/>
  <c r="P52" i="1"/>
  <c r="O52" i="1"/>
  <c r="P51" i="1"/>
  <c r="O51" i="1"/>
  <c r="P50" i="1"/>
  <c r="O50" i="1"/>
  <c r="P49" i="1"/>
  <c r="O49" i="1"/>
  <c r="P48" i="1"/>
  <c r="O48" i="1"/>
  <c r="P47" i="1"/>
  <c r="O47" i="1"/>
  <c r="P46" i="1"/>
  <c r="O46" i="1"/>
  <c r="P45" i="1"/>
  <c r="O45" i="1"/>
  <c r="P44" i="1"/>
  <c r="O44" i="1"/>
  <c r="P43" i="1"/>
  <c r="O43" i="1"/>
  <c r="P42" i="1"/>
  <c r="O42" i="1"/>
  <c r="P41" i="1"/>
  <c r="O41" i="1"/>
  <c r="P40" i="1"/>
  <c r="O40" i="1"/>
  <c r="P39" i="1"/>
  <c r="O39" i="1"/>
  <c r="P38" i="1"/>
  <c r="O38" i="1"/>
  <c r="P37" i="1"/>
  <c r="O37" i="1"/>
  <c r="P36" i="1"/>
  <c r="O36" i="1"/>
  <c r="P35" i="1"/>
  <c r="O35" i="1"/>
  <c r="P34" i="1"/>
  <c r="O34" i="1"/>
  <c r="P33" i="1"/>
  <c r="O33" i="1"/>
  <c r="P32" i="1"/>
  <c r="O32" i="1"/>
  <c r="P31" i="1"/>
  <c r="O31" i="1"/>
  <c r="P30" i="1"/>
  <c r="O30" i="1"/>
  <c r="P29" i="1"/>
  <c r="O29" i="1"/>
  <c r="P28" i="1"/>
  <c r="O28" i="1"/>
  <c r="P27" i="1"/>
  <c r="O27" i="1"/>
  <c r="P26" i="1"/>
  <c r="O26" i="1"/>
  <c r="P25" i="1"/>
  <c r="O25" i="1"/>
  <c r="P24" i="1"/>
  <c r="O24" i="1"/>
  <c r="P23" i="1"/>
  <c r="O23" i="1"/>
  <c r="P22" i="1"/>
  <c r="O22" i="1"/>
  <c r="P21" i="1"/>
  <c r="O21" i="1"/>
  <c r="P20" i="1"/>
  <c r="O20" i="1"/>
  <c r="P19" i="1"/>
  <c r="O19" i="1"/>
  <c r="P18" i="1"/>
  <c r="O18" i="1"/>
  <c r="P17" i="1"/>
  <c r="O17" i="1"/>
  <c r="P16" i="1"/>
  <c r="O16" i="1"/>
  <c r="P15" i="1"/>
  <c r="O15" i="1"/>
  <c r="P14" i="1"/>
  <c r="O14" i="1"/>
  <c r="P13" i="1"/>
  <c r="O13" i="1"/>
  <c r="P12" i="1"/>
  <c r="O12" i="1"/>
  <c r="P11" i="1"/>
  <c r="O11" i="1"/>
  <c r="P10" i="1"/>
  <c r="O10" i="1"/>
  <c r="P9" i="1"/>
  <c r="O9" i="1"/>
  <c r="P8" i="1"/>
  <c r="O8" i="1"/>
  <c r="P7" i="1"/>
  <c r="O7" i="1"/>
  <c r="P6" i="1"/>
  <c r="O6" i="1"/>
  <c r="P5" i="1"/>
  <c r="O5" i="1"/>
  <c r="P4" i="1"/>
  <c r="O4" i="1"/>
  <c r="P3" i="1"/>
  <c r="O3" i="1"/>
  <c r="P2" i="1"/>
  <c r="O2" i="1"/>
  <c r="N27" i="1"/>
  <c r="M27" i="1"/>
  <c r="N26" i="1"/>
  <c r="M26" i="1"/>
  <c r="N25" i="1"/>
  <c r="M25" i="1"/>
  <c r="N24" i="1"/>
  <c r="M24" i="1"/>
  <c r="N23" i="1"/>
  <c r="M23" i="1"/>
  <c r="N22" i="1"/>
  <c r="M22" i="1"/>
  <c r="N21" i="1"/>
  <c r="M21" i="1"/>
  <c r="N20" i="1"/>
  <c r="M20" i="1"/>
  <c r="N19" i="1"/>
  <c r="M19" i="1"/>
  <c r="N18" i="1"/>
  <c r="M18" i="1"/>
  <c r="N17" i="1"/>
  <c r="M17" i="1"/>
  <c r="N16" i="1"/>
  <c r="M16" i="1"/>
  <c r="N15" i="1"/>
  <c r="M15" i="1"/>
  <c r="N14" i="1"/>
  <c r="M14" i="1"/>
  <c r="N13" i="1"/>
  <c r="M13" i="1"/>
  <c r="N12" i="1"/>
  <c r="M12" i="1"/>
  <c r="N11" i="1"/>
  <c r="M11" i="1"/>
  <c r="N10" i="1"/>
  <c r="M10" i="1"/>
  <c r="N9" i="1"/>
  <c r="M9" i="1"/>
  <c r="N8" i="1"/>
  <c r="M8" i="1"/>
  <c r="N7" i="1"/>
  <c r="M7" i="1"/>
  <c r="N6" i="1"/>
  <c r="M6" i="1"/>
  <c r="N5" i="1"/>
  <c r="M5" i="1"/>
  <c r="N4" i="1"/>
  <c r="M4" i="1"/>
  <c r="N3" i="1"/>
  <c r="M3" i="1"/>
  <c r="N2" i="1"/>
  <c r="M2" i="1"/>
  <c r="L34" i="1"/>
  <c r="K34" i="1"/>
  <c r="L33" i="1"/>
  <c r="K33" i="1"/>
  <c r="L32" i="1"/>
  <c r="K32" i="1"/>
  <c r="L31" i="1"/>
  <c r="K31" i="1"/>
  <c r="L30" i="1"/>
  <c r="K30" i="1"/>
  <c r="L29" i="1"/>
  <c r="K29" i="1"/>
  <c r="L28" i="1"/>
  <c r="K28" i="1"/>
  <c r="L27" i="1"/>
  <c r="K27" i="1"/>
  <c r="L26" i="1"/>
  <c r="K26" i="1"/>
  <c r="L25" i="1"/>
  <c r="K25" i="1"/>
  <c r="L24" i="1"/>
  <c r="K24" i="1"/>
  <c r="L23" i="1"/>
  <c r="K23" i="1"/>
  <c r="L22" i="1"/>
  <c r="K22" i="1"/>
  <c r="L21" i="1"/>
  <c r="K21" i="1"/>
  <c r="L20" i="1"/>
  <c r="K20" i="1"/>
  <c r="L19" i="1"/>
  <c r="K19" i="1"/>
  <c r="L18" i="1"/>
  <c r="K18" i="1"/>
  <c r="L17" i="1"/>
  <c r="K17" i="1"/>
  <c r="L16" i="1"/>
  <c r="K16" i="1"/>
  <c r="L15" i="1"/>
  <c r="K15" i="1"/>
  <c r="L14" i="1"/>
  <c r="K14" i="1"/>
  <c r="L13" i="1"/>
  <c r="K13" i="1"/>
  <c r="L12" i="1"/>
  <c r="K12" i="1"/>
  <c r="L11" i="1"/>
  <c r="K11" i="1"/>
  <c r="L10" i="1"/>
  <c r="K10" i="1"/>
  <c r="L9" i="1"/>
  <c r="K9" i="1"/>
  <c r="L8" i="1"/>
  <c r="K8" i="1"/>
  <c r="L7" i="1"/>
  <c r="K7" i="1"/>
  <c r="L6" i="1"/>
  <c r="K6" i="1"/>
  <c r="L5" i="1"/>
  <c r="K5" i="1"/>
  <c r="L4" i="1"/>
  <c r="K4" i="1"/>
  <c r="L3" i="1"/>
  <c r="K3" i="1"/>
  <c r="L2" i="1"/>
  <c r="K2" i="1"/>
  <c r="J86" i="1"/>
  <c r="I86" i="1"/>
  <c r="J85" i="1"/>
  <c r="I85" i="1"/>
  <c r="J84" i="1"/>
  <c r="I84" i="1"/>
  <c r="J83" i="1"/>
  <c r="I83" i="1"/>
  <c r="J82" i="1"/>
  <c r="I82" i="1"/>
  <c r="J81" i="1"/>
  <c r="I81" i="1"/>
  <c r="J80" i="1"/>
  <c r="I80" i="1"/>
  <c r="J79" i="1"/>
  <c r="I79" i="1"/>
  <c r="J78" i="1"/>
  <c r="I78" i="1"/>
  <c r="J77" i="1"/>
  <c r="I77" i="1"/>
  <c r="J76" i="1"/>
  <c r="I76" i="1"/>
  <c r="J75" i="1"/>
  <c r="I75" i="1"/>
  <c r="J74" i="1"/>
  <c r="I74" i="1"/>
  <c r="J73" i="1"/>
  <c r="I73" i="1"/>
  <c r="J72" i="1"/>
  <c r="I72" i="1"/>
  <c r="J71" i="1"/>
  <c r="I71" i="1"/>
  <c r="J70" i="1"/>
  <c r="I70" i="1"/>
  <c r="J69" i="1"/>
  <c r="I69" i="1"/>
  <c r="J68" i="1"/>
  <c r="I68" i="1"/>
  <c r="J67" i="1"/>
  <c r="I67" i="1"/>
  <c r="J66" i="1"/>
  <c r="I66" i="1"/>
  <c r="J65" i="1"/>
  <c r="I65" i="1"/>
  <c r="J64" i="1"/>
  <c r="I64" i="1"/>
  <c r="J63" i="1"/>
  <c r="I63" i="1"/>
  <c r="J62" i="1"/>
  <c r="I62" i="1"/>
  <c r="J61" i="1"/>
  <c r="I61" i="1"/>
  <c r="J60" i="1"/>
  <c r="I60" i="1"/>
  <c r="J59" i="1"/>
  <c r="I59" i="1"/>
  <c r="J58" i="1"/>
  <c r="I58" i="1"/>
  <c r="J57" i="1"/>
  <c r="I57" i="1"/>
  <c r="J56" i="1"/>
  <c r="I56" i="1"/>
  <c r="J55" i="1"/>
  <c r="I55" i="1"/>
  <c r="J54" i="1"/>
  <c r="I54" i="1"/>
  <c r="J53" i="1"/>
  <c r="I53" i="1"/>
  <c r="J52" i="1"/>
  <c r="I52" i="1"/>
  <c r="J51" i="1"/>
  <c r="I51" i="1"/>
  <c r="J50" i="1"/>
  <c r="I50" i="1"/>
  <c r="J49" i="1"/>
  <c r="I49" i="1"/>
  <c r="J48" i="1"/>
  <c r="I48" i="1"/>
  <c r="J47" i="1"/>
  <c r="I47" i="1"/>
  <c r="J46" i="1"/>
  <c r="I46" i="1"/>
  <c r="J45" i="1"/>
  <c r="I45" i="1"/>
  <c r="J44" i="1"/>
  <c r="I44" i="1"/>
  <c r="J43" i="1"/>
  <c r="I43" i="1"/>
  <c r="J42" i="1"/>
  <c r="I42" i="1"/>
  <c r="J41" i="1"/>
  <c r="I41" i="1"/>
  <c r="J40" i="1"/>
  <c r="I40" i="1"/>
  <c r="J39" i="1"/>
  <c r="I39" i="1"/>
  <c r="J38" i="1"/>
  <c r="I38" i="1"/>
  <c r="J37" i="1"/>
  <c r="I37" i="1"/>
  <c r="J36" i="1"/>
  <c r="I36" i="1"/>
  <c r="J35" i="1"/>
  <c r="I35" i="1"/>
  <c r="J34" i="1"/>
  <c r="I34" i="1"/>
  <c r="J33" i="1"/>
  <c r="I33" i="1"/>
  <c r="J32" i="1"/>
  <c r="I32" i="1"/>
  <c r="J31" i="1"/>
  <c r="I31" i="1"/>
  <c r="J30" i="1"/>
  <c r="I30" i="1"/>
  <c r="J29" i="1"/>
  <c r="I29" i="1"/>
  <c r="J28" i="1"/>
  <c r="I28" i="1"/>
  <c r="J27" i="1"/>
  <c r="I27" i="1"/>
  <c r="J26" i="1"/>
  <c r="I26" i="1"/>
  <c r="J25" i="1"/>
  <c r="I25" i="1"/>
  <c r="J24" i="1"/>
  <c r="I24" i="1"/>
  <c r="J23" i="1"/>
  <c r="I23" i="1"/>
  <c r="J22" i="1"/>
  <c r="I22" i="1"/>
  <c r="J21" i="1"/>
  <c r="I21" i="1"/>
  <c r="J20" i="1"/>
  <c r="I20" i="1"/>
  <c r="J19" i="1"/>
  <c r="I19" i="1"/>
  <c r="J18" i="1"/>
  <c r="I18" i="1"/>
  <c r="J17" i="1"/>
  <c r="I17" i="1"/>
  <c r="J16" i="1"/>
  <c r="I16" i="1"/>
  <c r="J15" i="1"/>
  <c r="I15" i="1"/>
  <c r="J14" i="1"/>
  <c r="I14" i="1"/>
  <c r="J13" i="1"/>
  <c r="I13" i="1"/>
  <c r="J12" i="1"/>
  <c r="I12" i="1"/>
  <c r="J11" i="1"/>
  <c r="I11" i="1"/>
  <c r="J10" i="1"/>
  <c r="I10" i="1"/>
  <c r="J9" i="1"/>
  <c r="I9" i="1"/>
  <c r="J8" i="1"/>
  <c r="I8" i="1"/>
  <c r="J7" i="1"/>
  <c r="I7" i="1"/>
  <c r="J6" i="1"/>
  <c r="I6" i="1"/>
  <c r="J5" i="1"/>
  <c r="I5" i="1"/>
  <c r="J4" i="1"/>
  <c r="I4" i="1"/>
  <c r="J3" i="1"/>
  <c r="I3" i="1"/>
  <c r="J2" i="1"/>
  <c r="I2" i="1"/>
  <c r="H84" i="1"/>
  <c r="G84" i="1"/>
  <c r="H83" i="1"/>
  <c r="G83" i="1"/>
  <c r="H82" i="1"/>
  <c r="G82" i="1"/>
  <c r="H81" i="1"/>
  <c r="G81" i="1"/>
  <c r="H80" i="1"/>
  <c r="G80" i="1"/>
  <c r="H79" i="1"/>
  <c r="G79" i="1"/>
  <c r="H78" i="1"/>
  <c r="G78" i="1"/>
  <c r="H77" i="1"/>
  <c r="G77" i="1"/>
  <c r="H76" i="1"/>
  <c r="G76" i="1"/>
  <c r="H75" i="1"/>
  <c r="G75" i="1"/>
  <c r="H74" i="1"/>
  <c r="G74" i="1"/>
  <c r="H73" i="1"/>
  <c r="G73" i="1"/>
  <c r="H72" i="1"/>
  <c r="G72" i="1"/>
  <c r="H71" i="1"/>
  <c r="G71" i="1"/>
  <c r="H70" i="1"/>
  <c r="G70" i="1"/>
  <c r="H69" i="1"/>
  <c r="G69" i="1"/>
  <c r="H68" i="1"/>
  <c r="G68" i="1"/>
  <c r="H67" i="1"/>
  <c r="G67" i="1"/>
  <c r="H66" i="1"/>
  <c r="G66" i="1"/>
  <c r="H65" i="1"/>
  <c r="G65" i="1"/>
  <c r="H64" i="1"/>
  <c r="G64" i="1"/>
  <c r="H63" i="1"/>
  <c r="G63" i="1"/>
  <c r="H62" i="1"/>
  <c r="G62" i="1"/>
  <c r="H61" i="1"/>
  <c r="G61" i="1"/>
  <c r="H60" i="1"/>
  <c r="G60" i="1"/>
  <c r="H59" i="1"/>
  <c r="G59" i="1"/>
  <c r="H58" i="1"/>
  <c r="G58" i="1"/>
  <c r="H57" i="1"/>
  <c r="G57" i="1"/>
  <c r="H56" i="1"/>
  <c r="G56" i="1"/>
  <c r="H55" i="1"/>
  <c r="G55" i="1"/>
  <c r="H54" i="1"/>
  <c r="G54" i="1"/>
  <c r="H53" i="1"/>
  <c r="G53" i="1"/>
  <c r="H52" i="1"/>
  <c r="G52" i="1"/>
  <c r="H51" i="1"/>
  <c r="G51" i="1"/>
  <c r="H50" i="1"/>
  <c r="G50" i="1"/>
  <c r="H49" i="1"/>
  <c r="G49" i="1"/>
  <c r="H48" i="1"/>
  <c r="G48" i="1"/>
  <c r="H47" i="1"/>
  <c r="G47" i="1"/>
  <c r="H46" i="1"/>
  <c r="G46" i="1"/>
  <c r="H45" i="1"/>
  <c r="G45" i="1"/>
  <c r="H44" i="1"/>
  <c r="G44" i="1"/>
  <c r="H43" i="1"/>
  <c r="G43" i="1"/>
  <c r="H42" i="1"/>
  <c r="G42" i="1"/>
  <c r="H41" i="1"/>
  <c r="G41" i="1"/>
  <c r="H40" i="1"/>
  <c r="G40" i="1"/>
  <c r="H39" i="1"/>
  <c r="G39" i="1"/>
  <c r="H38" i="1"/>
  <c r="G38" i="1"/>
  <c r="H37" i="1"/>
  <c r="G37" i="1"/>
  <c r="H36" i="1"/>
  <c r="G36" i="1"/>
  <c r="H35" i="1"/>
  <c r="G35" i="1"/>
  <c r="H34" i="1"/>
  <c r="G34" i="1"/>
  <c r="H33" i="1"/>
  <c r="G33" i="1"/>
  <c r="H32" i="1"/>
  <c r="G32" i="1"/>
  <c r="H31" i="1"/>
  <c r="G31" i="1"/>
  <c r="H30" i="1"/>
  <c r="G30" i="1"/>
  <c r="H29" i="1"/>
  <c r="G29" i="1"/>
  <c r="H28" i="1"/>
  <c r="G28" i="1"/>
  <c r="H27" i="1"/>
  <c r="G27" i="1"/>
  <c r="H26" i="1"/>
  <c r="G26" i="1"/>
  <c r="H25" i="1"/>
  <c r="G25" i="1"/>
  <c r="H24" i="1"/>
  <c r="G24" i="1"/>
  <c r="H23" i="1"/>
  <c r="G23" i="1"/>
  <c r="H22" i="1"/>
  <c r="G22" i="1"/>
  <c r="H21" i="1"/>
  <c r="G21" i="1"/>
  <c r="H20" i="1"/>
  <c r="G20" i="1"/>
  <c r="H19" i="1"/>
  <c r="G19" i="1"/>
  <c r="H18" i="1"/>
  <c r="G18" i="1"/>
  <c r="H17" i="1"/>
  <c r="G17" i="1"/>
  <c r="H16" i="1"/>
  <c r="G16" i="1"/>
  <c r="H15" i="1"/>
  <c r="G15" i="1"/>
  <c r="H14" i="1"/>
  <c r="G14" i="1"/>
  <c r="H13" i="1"/>
  <c r="G13" i="1"/>
  <c r="H12" i="1"/>
  <c r="G12" i="1"/>
  <c r="H11" i="1"/>
  <c r="G11" i="1"/>
  <c r="H10" i="1"/>
  <c r="G10" i="1"/>
  <c r="H9" i="1"/>
  <c r="G9" i="1"/>
  <c r="H8" i="1"/>
  <c r="G8" i="1"/>
  <c r="H7" i="1"/>
  <c r="G7" i="1"/>
  <c r="H6" i="1"/>
  <c r="G6" i="1"/>
  <c r="H5" i="1"/>
  <c r="G5" i="1"/>
  <c r="H4" i="1"/>
  <c r="G4" i="1"/>
  <c r="H3" i="1"/>
  <c r="G3" i="1"/>
  <c r="H2" i="1"/>
  <c r="G2" i="1"/>
  <c r="F101" i="1"/>
  <c r="E101" i="1"/>
  <c r="F100" i="1"/>
  <c r="E100" i="1"/>
  <c r="F99" i="1"/>
  <c r="E99" i="1"/>
  <c r="F98" i="1"/>
  <c r="E98" i="1"/>
  <c r="F97" i="1"/>
  <c r="E97" i="1"/>
  <c r="F96" i="1"/>
  <c r="E96" i="1"/>
  <c r="F95" i="1"/>
  <c r="E95" i="1"/>
  <c r="F94" i="1"/>
  <c r="E94" i="1"/>
  <c r="F93" i="1"/>
  <c r="E93" i="1"/>
  <c r="F92" i="1"/>
  <c r="E92" i="1"/>
  <c r="F91" i="1"/>
  <c r="E91" i="1"/>
  <c r="F90" i="1"/>
  <c r="E90" i="1"/>
  <c r="F89" i="1"/>
  <c r="E89" i="1"/>
  <c r="F88" i="1"/>
  <c r="E88" i="1"/>
  <c r="F87" i="1"/>
  <c r="E87" i="1"/>
  <c r="F86" i="1"/>
  <c r="E86" i="1"/>
  <c r="F85" i="1"/>
  <c r="E85" i="1"/>
  <c r="F84" i="1"/>
  <c r="E84" i="1"/>
  <c r="F83" i="1"/>
  <c r="E83" i="1"/>
  <c r="F82" i="1"/>
  <c r="E82" i="1"/>
  <c r="F81" i="1"/>
  <c r="E81" i="1"/>
  <c r="F80" i="1"/>
  <c r="E80" i="1"/>
  <c r="F79" i="1"/>
  <c r="E79" i="1"/>
  <c r="F78" i="1"/>
  <c r="E78" i="1"/>
  <c r="F77" i="1"/>
  <c r="E77" i="1"/>
  <c r="F76" i="1"/>
  <c r="E76" i="1"/>
  <c r="F75" i="1"/>
  <c r="E75" i="1"/>
  <c r="F74" i="1"/>
  <c r="E74" i="1"/>
  <c r="F73" i="1"/>
  <c r="E73" i="1"/>
  <c r="F72" i="1"/>
  <c r="E72" i="1"/>
  <c r="F71" i="1"/>
  <c r="E71" i="1"/>
  <c r="F70" i="1"/>
  <c r="E70" i="1"/>
  <c r="F69" i="1"/>
  <c r="E69" i="1"/>
  <c r="F68" i="1"/>
  <c r="E68" i="1"/>
  <c r="F67" i="1"/>
  <c r="E67" i="1"/>
  <c r="F66" i="1"/>
  <c r="E66" i="1"/>
  <c r="F65" i="1"/>
  <c r="E65" i="1"/>
  <c r="F64" i="1"/>
  <c r="E64" i="1"/>
  <c r="F63" i="1"/>
  <c r="E63" i="1"/>
  <c r="F62" i="1"/>
  <c r="E62" i="1"/>
  <c r="F61" i="1"/>
  <c r="E61" i="1"/>
  <c r="F60" i="1"/>
  <c r="E60" i="1"/>
  <c r="F59" i="1"/>
  <c r="E59" i="1"/>
  <c r="F58" i="1"/>
  <c r="E58" i="1"/>
  <c r="F57" i="1"/>
  <c r="E57" i="1"/>
  <c r="F56" i="1"/>
  <c r="E56" i="1"/>
  <c r="F55" i="1"/>
  <c r="E55" i="1"/>
  <c r="F54" i="1"/>
  <c r="E54" i="1"/>
  <c r="F53" i="1"/>
  <c r="E53" i="1"/>
  <c r="F52" i="1"/>
  <c r="E52" i="1"/>
  <c r="F51" i="1"/>
  <c r="E51" i="1"/>
  <c r="F50" i="1"/>
  <c r="E50" i="1"/>
  <c r="F49" i="1"/>
  <c r="E49" i="1"/>
  <c r="F48" i="1"/>
  <c r="E48" i="1"/>
  <c r="F47" i="1"/>
  <c r="E47" i="1"/>
  <c r="F46" i="1"/>
  <c r="E46" i="1"/>
  <c r="F45" i="1"/>
  <c r="E45" i="1"/>
  <c r="F44" i="1"/>
  <c r="E44" i="1"/>
  <c r="F43" i="1"/>
  <c r="E43" i="1"/>
  <c r="F42" i="1"/>
  <c r="E42" i="1"/>
  <c r="F41" i="1"/>
  <c r="E41" i="1"/>
  <c r="F40" i="1"/>
  <c r="E40" i="1"/>
  <c r="F39" i="1"/>
  <c r="E39" i="1"/>
  <c r="F38" i="1"/>
  <c r="E38" i="1"/>
  <c r="F37" i="1"/>
  <c r="E37" i="1"/>
  <c r="F36" i="1"/>
  <c r="E36" i="1"/>
  <c r="F35" i="1"/>
  <c r="E35" i="1"/>
  <c r="F34" i="1"/>
  <c r="E34" i="1"/>
  <c r="F33" i="1"/>
  <c r="E33" i="1"/>
  <c r="F32" i="1"/>
  <c r="E32" i="1"/>
  <c r="F31" i="1"/>
  <c r="E31" i="1"/>
  <c r="F30" i="1"/>
  <c r="E30" i="1"/>
  <c r="F29" i="1"/>
  <c r="E29" i="1"/>
  <c r="F28" i="1"/>
  <c r="E28" i="1"/>
  <c r="F27" i="1"/>
  <c r="E27" i="1"/>
  <c r="F26" i="1"/>
  <c r="E26" i="1"/>
  <c r="F25" i="1"/>
  <c r="E25" i="1"/>
  <c r="F24" i="1"/>
  <c r="E24" i="1"/>
  <c r="F23" i="1"/>
  <c r="E23" i="1"/>
  <c r="F22" i="1"/>
  <c r="E22" i="1"/>
  <c r="F21" i="1"/>
  <c r="E21" i="1"/>
  <c r="F20" i="1"/>
  <c r="E20" i="1"/>
  <c r="F19" i="1"/>
  <c r="E19" i="1"/>
  <c r="F18" i="1"/>
  <c r="E18" i="1"/>
  <c r="F17" i="1"/>
  <c r="E17" i="1"/>
  <c r="F16" i="1"/>
  <c r="E16" i="1"/>
  <c r="F15" i="1"/>
  <c r="E15" i="1"/>
  <c r="F14" i="1"/>
  <c r="E14" i="1"/>
  <c r="F13" i="1"/>
  <c r="E13" i="1"/>
  <c r="F12" i="1"/>
  <c r="E12" i="1"/>
  <c r="F11" i="1"/>
  <c r="E11" i="1"/>
  <c r="F10" i="1"/>
  <c r="E10" i="1"/>
  <c r="F9" i="1"/>
  <c r="E9" i="1"/>
  <c r="F8" i="1"/>
  <c r="E8" i="1"/>
  <c r="F7" i="1"/>
  <c r="E7" i="1"/>
  <c r="F6" i="1"/>
  <c r="E6" i="1"/>
  <c r="F5" i="1"/>
  <c r="E5" i="1"/>
  <c r="F4" i="1"/>
  <c r="E4" i="1"/>
  <c r="F3" i="1"/>
  <c r="E3" i="1"/>
  <c r="F2" i="1"/>
  <c r="E2" i="1"/>
  <c r="D78" i="1"/>
  <c r="C78" i="1"/>
  <c r="D77" i="1"/>
  <c r="C77" i="1"/>
  <c r="D76" i="1"/>
  <c r="C76" i="1"/>
  <c r="D75" i="1"/>
  <c r="C75" i="1"/>
  <c r="D74" i="1"/>
  <c r="C74" i="1"/>
  <c r="D73" i="1"/>
  <c r="C73" i="1"/>
  <c r="D72" i="1"/>
  <c r="C72" i="1"/>
  <c r="D71" i="1"/>
  <c r="C71" i="1"/>
  <c r="D70" i="1"/>
  <c r="C70" i="1"/>
  <c r="D69" i="1"/>
  <c r="C69" i="1"/>
  <c r="D68" i="1"/>
  <c r="C68" i="1"/>
  <c r="D67" i="1"/>
  <c r="C67" i="1"/>
  <c r="D66" i="1"/>
  <c r="C66" i="1"/>
  <c r="D65" i="1"/>
  <c r="C65" i="1"/>
  <c r="D64" i="1"/>
  <c r="C64" i="1"/>
  <c r="D63" i="1"/>
  <c r="C63" i="1"/>
  <c r="D62" i="1"/>
  <c r="C62" i="1"/>
  <c r="D61" i="1"/>
  <c r="C61" i="1"/>
  <c r="D60" i="1"/>
  <c r="C60" i="1"/>
  <c r="D59" i="1"/>
  <c r="C59" i="1"/>
  <c r="D58" i="1"/>
  <c r="C58" i="1"/>
  <c r="D57" i="1"/>
  <c r="C57" i="1"/>
  <c r="D56" i="1"/>
  <c r="C56" i="1"/>
  <c r="D55" i="1"/>
  <c r="C55" i="1"/>
  <c r="D54" i="1"/>
  <c r="C54" i="1"/>
  <c r="D53" i="1"/>
  <c r="C53" i="1"/>
  <c r="D52" i="1"/>
  <c r="C52" i="1"/>
  <c r="D51" i="1"/>
  <c r="C51" i="1"/>
  <c r="D50" i="1"/>
  <c r="C50" i="1"/>
  <c r="D49" i="1"/>
  <c r="C49" i="1"/>
  <c r="D48" i="1"/>
  <c r="C48" i="1"/>
  <c r="D47" i="1"/>
  <c r="C47" i="1"/>
  <c r="D46" i="1"/>
  <c r="C46" i="1"/>
  <c r="D45" i="1"/>
  <c r="C45" i="1"/>
  <c r="D44" i="1"/>
  <c r="C44" i="1"/>
  <c r="D43" i="1"/>
  <c r="C43" i="1"/>
  <c r="D42" i="1"/>
  <c r="C42" i="1"/>
  <c r="D41" i="1"/>
  <c r="C41" i="1"/>
  <c r="D40" i="1"/>
  <c r="C40" i="1"/>
  <c r="D39" i="1"/>
  <c r="C39" i="1"/>
  <c r="D38" i="1"/>
  <c r="C38" i="1"/>
  <c r="D37" i="1"/>
  <c r="C37" i="1"/>
  <c r="D36" i="1"/>
  <c r="C36" i="1"/>
  <c r="D35" i="1"/>
  <c r="C35" i="1"/>
  <c r="D34" i="1"/>
  <c r="C34" i="1"/>
  <c r="D33" i="1"/>
  <c r="C33" i="1"/>
  <c r="D32" i="1"/>
  <c r="C32" i="1"/>
  <c r="D31" i="1"/>
  <c r="C31" i="1"/>
  <c r="D30" i="1"/>
  <c r="C30" i="1"/>
  <c r="D29" i="1"/>
  <c r="C29" i="1"/>
  <c r="D28" i="1"/>
  <c r="C28" i="1"/>
  <c r="D27" i="1"/>
  <c r="C27" i="1"/>
  <c r="D26" i="1"/>
  <c r="C26" i="1"/>
  <c r="D25" i="1"/>
  <c r="C25" i="1"/>
  <c r="D24" i="1"/>
  <c r="C24" i="1"/>
  <c r="D23" i="1"/>
  <c r="C23" i="1"/>
  <c r="D22" i="1"/>
  <c r="C22" i="1"/>
  <c r="D21" i="1"/>
  <c r="C21" i="1"/>
  <c r="D20" i="1"/>
  <c r="C20" i="1"/>
  <c r="D19" i="1"/>
  <c r="C19" i="1"/>
  <c r="D18" i="1"/>
  <c r="C18" i="1"/>
  <c r="D17" i="1"/>
  <c r="C17" i="1"/>
  <c r="D16" i="1"/>
  <c r="C16" i="1"/>
  <c r="D15" i="1"/>
  <c r="C15" i="1"/>
  <c r="D14" i="1"/>
  <c r="C14" i="1"/>
  <c r="D13" i="1"/>
  <c r="C13" i="1"/>
  <c r="D12" i="1"/>
  <c r="C12" i="1"/>
  <c r="D11" i="1"/>
  <c r="C11" i="1"/>
  <c r="D10" i="1"/>
  <c r="C10" i="1"/>
  <c r="D9" i="1"/>
  <c r="C9" i="1"/>
  <c r="D8" i="1"/>
  <c r="C8" i="1"/>
  <c r="D7" i="1"/>
  <c r="C7" i="1"/>
  <c r="D6" i="1"/>
  <c r="C6" i="1"/>
  <c r="D5" i="1"/>
  <c r="C5" i="1"/>
  <c r="D4" i="1"/>
  <c r="C4" i="1"/>
  <c r="D3" i="1"/>
  <c r="C3" i="1"/>
  <c r="D2" i="1"/>
  <c r="C2" i="1"/>
  <c r="B89" i="1"/>
  <c r="A89" i="1"/>
  <c r="B88" i="1"/>
  <c r="A88" i="1"/>
  <c r="B87" i="1"/>
  <c r="A87" i="1"/>
  <c r="B86" i="1"/>
  <c r="A86" i="1"/>
  <c r="B85" i="1"/>
  <c r="A85" i="1"/>
  <c r="B84" i="1"/>
  <c r="A84" i="1"/>
  <c r="B83" i="1"/>
  <c r="A83" i="1"/>
  <c r="B82" i="1"/>
  <c r="A82" i="1"/>
  <c r="B81" i="1"/>
  <c r="A81" i="1"/>
  <c r="B80" i="1"/>
  <c r="A80" i="1"/>
  <c r="B79" i="1"/>
  <c r="A79" i="1"/>
  <c r="B78" i="1"/>
  <c r="A78" i="1"/>
  <c r="B77" i="1"/>
  <c r="A77" i="1"/>
  <c r="B76" i="1"/>
  <c r="A76" i="1"/>
  <c r="B75" i="1"/>
  <c r="A75" i="1"/>
  <c r="B74" i="1"/>
  <c r="A74" i="1"/>
  <c r="B73" i="1"/>
  <c r="A73" i="1"/>
  <c r="B72" i="1"/>
  <c r="A72" i="1"/>
  <c r="B71" i="1"/>
  <c r="A71" i="1"/>
  <c r="B70" i="1"/>
  <c r="A70" i="1"/>
  <c r="B69" i="1"/>
  <c r="A69" i="1"/>
  <c r="B68" i="1"/>
  <c r="A68" i="1"/>
  <c r="B67" i="1"/>
  <c r="A67" i="1"/>
  <c r="B66" i="1"/>
  <c r="A66" i="1"/>
  <c r="B65" i="1"/>
  <c r="A65" i="1"/>
  <c r="B64" i="1"/>
  <c r="A64" i="1"/>
  <c r="B63" i="1"/>
  <c r="A63" i="1"/>
  <c r="B62" i="1"/>
  <c r="A62" i="1"/>
  <c r="B61" i="1"/>
  <c r="A61" i="1"/>
  <c r="B60" i="1"/>
  <c r="A60" i="1"/>
  <c r="B59" i="1"/>
  <c r="A59" i="1"/>
  <c r="B58" i="1"/>
  <c r="A58" i="1"/>
  <c r="B57" i="1"/>
  <c r="A57" i="1"/>
  <c r="B56" i="1"/>
  <c r="A56" i="1"/>
  <c r="B55" i="1"/>
  <c r="A55" i="1"/>
  <c r="B54" i="1"/>
  <c r="A54" i="1"/>
  <c r="B53" i="1"/>
  <c r="A53" i="1"/>
  <c r="B52" i="1"/>
  <c r="A52" i="1"/>
  <c r="B51" i="1"/>
  <c r="A51" i="1"/>
  <c r="B50" i="1"/>
  <c r="A50" i="1"/>
  <c r="B49" i="1"/>
  <c r="A49" i="1"/>
  <c r="B48" i="1"/>
  <c r="A48" i="1"/>
  <c r="B47" i="1"/>
  <c r="A47" i="1"/>
  <c r="B46" i="1"/>
  <c r="A46" i="1"/>
  <c r="B45" i="1"/>
  <c r="A45" i="1"/>
  <c r="B44" i="1"/>
  <c r="A44" i="1"/>
  <c r="B43" i="1"/>
  <c r="A43" i="1"/>
  <c r="B42" i="1"/>
  <c r="A42" i="1"/>
  <c r="B41" i="1"/>
  <c r="A41" i="1"/>
  <c r="B40" i="1"/>
  <c r="A40" i="1"/>
  <c r="B39" i="1"/>
  <c r="A39" i="1"/>
  <c r="B38" i="1"/>
  <c r="A38" i="1"/>
  <c r="B37" i="1"/>
  <c r="A37" i="1"/>
  <c r="B36" i="1"/>
  <c r="A36" i="1"/>
  <c r="B35" i="1"/>
  <c r="A35" i="1"/>
  <c r="B34" i="1"/>
  <c r="A34" i="1"/>
  <c r="B33" i="1"/>
  <c r="A33" i="1"/>
  <c r="B32" i="1"/>
  <c r="A32"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 r="B10" i="1"/>
  <c r="A10" i="1"/>
  <c r="B9" i="1"/>
  <c r="A9" i="1"/>
  <c r="B8" i="1"/>
  <c r="A8" i="1"/>
  <c r="B7" i="1"/>
  <c r="A7" i="1"/>
  <c r="B6" i="1"/>
  <c r="A6" i="1"/>
  <c r="B5" i="1"/>
  <c r="A5" i="1"/>
  <c r="B4" i="1"/>
  <c r="A4" i="1"/>
  <c r="B3" i="1"/>
  <c r="A3" i="1"/>
  <c r="B2" i="1"/>
  <c r="A2" i="1"/>
  <c r="DH61" i="13" l="1"/>
  <c r="DG61" i="13"/>
  <c r="DF61" i="13"/>
  <c r="DE61" i="13"/>
  <c r="DD61" i="13"/>
  <c r="DC61" i="13"/>
  <c r="DB61" i="13"/>
  <c r="DA61" i="13"/>
  <c r="CZ61" i="13"/>
  <c r="CY61" i="13"/>
  <c r="CX61" i="13"/>
  <c r="CW61" i="13"/>
  <c r="CV61" i="13"/>
  <c r="CU61" i="13"/>
  <c r="CT61" i="13"/>
  <c r="CS61" i="13"/>
  <c r="CR61" i="13"/>
  <c r="CQ61" i="13"/>
  <c r="CP61" i="13"/>
  <c r="CO61" i="13"/>
  <c r="CN61" i="13"/>
  <c r="CM61" i="13"/>
  <c r="CL61" i="13"/>
  <c r="CK61" i="13"/>
  <c r="CJ61" i="13"/>
  <c r="CI61" i="13"/>
  <c r="CH61" i="13"/>
  <c r="CG61" i="13"/>
  <c r="CF61" i="13"/>
  <c r="CE61" i="13"/>
  <c r="CD61" i="13"/>
  <c r="CC61" i="13"/>
  <c r="CB61" i="13"/>
  <c r="CA61" i="13"/>
  <c r="BZ61" i="13"/>
  <c r="BY61" i="13"/>
  <c r="BX61" i="13"/>
  <c r="BW61" i="13"/>
  <c r="BV61" i="13"/>
  <c r="BU61" i="13"/>
  <c r="BT61" i="13"/>
  <c r="BS61" i="13"/>
  <c r="BR61" i="13"/>
  <c r="BQ61" i="13"/>
  <c r="BP61" i="13"/>
  <c r="BO61" i="13"/>
  <c r="BN61" i="13"/>
  <c r="BM61" i="13"/>
  <c r="BL61" i="13"/>
  <c r="BK61" i="13"/>
  <c r="BJ61" i="13"/>
  <c r="BI61" i="13"/>
  <c r="BH61" i="13"/>
  <c r="BG61" i="13"/>
  <c r="BF61" i="13"/>
  <c r="BE61" i="13"/>
  <c r="BD61" i="13"/>
  <c r="BC61" i="13"/>
  <c r="BB61" i="13"/>
  <c r="BA61" i="13"/>
  <c r="AZ61" i="13"/>
  <c r="AY61" i="13"/>
  <c r="AX61" i="13"/>
  <c r="AW61" i="13"/>
  <c r="AV61" i="13"/>
  <c r="AU61" i="13"/>
  <c r="AT61" i="13"/>
  <c r="AS61" i="13"/>
  <c r="AR61" i="13"/>
  <c r="AQ61" i="13"/>
  <c r="AP61" i="13"/>
  <c r="AO61" i="13"/>
  <c r="AN61" i="13"/>
  <c r="AM61" i="13"/>
  <c r="AL61" i="13"/>
  <c r="AK61" i="13"/>
  <c r="AJ61" i="13"/>
  <c r="AI61" i="13"/>
  <c r="AH61" i="13"/>
  <c r="AG61" i="13"/>
  <c r="AF61" i="13"/>
  <c r="AE61" i="13"/>
  <c r="AD61" i="13"/>
  <c r="AC61" i="13"/>
  <c r="AB61" i="13"/>
  <c r="AA61" i="13"/>
  <c r="Z61" i="13"/>
  <c r="Y61" i="13"/>
  <c r="X61" i="13"/>
  <c r="W61" i="13"/>
  <c r="V61" i="13"/>
  <c r="U61" i="13"/>
  <c r="T61" i="13"/>
  <c r="S61" i="13"/>
  <c r="R61" i="13"/>
  <c r="Q61" i="13"/>
  <c r="P61" i="13"/>
  <c r="O61" i="13"/>
  <c r="N61" i="13"/>
  <c r="M61" i="13"/>
  <c r="L61" i="13"/>
  <c r="K61" i="13"/>
  <c r="J61" i="13"/>
  <c r="I61" i="13"/>
  <c r="H61" i="13"/>
  <c r="G61" i="13"/>
  <c r="F61" i="13"/>
  <c r="E61" i="13"/>
  <c r="D61" i="13"/>
  <c r="C61" i="13"/>
  <c r="B61" i="13"/>
  <c r="DS61" i="12"/>
  <c r="DR61" i="12"/>
  <c r="DQ61" i="12"/>
  <c r="DP61" i="12"/>
  <c r="DO61" i="12"/>
  <c r="DN61" i="12"/>
  <c r="DM61" i="12"/>
  <c r="DL61" i="12"/>
  <c r="DK61" i="12"/>
  <c r="DJ61" i="12"/>
  <c r="DI61" i="12"/>
  <c r="DH61" i="12"/>
  <c r="DG61" i="12"/>
  <c r="DF61" i="12"/>
  <c r="DE61" i="12"/>
  <c r="DD61" i="12"/>
  <c r="DC61" i="12"/>
  <c r="DB61" i="12"/>
  <c r="DA61" i="12"/>
  <c r="CZ61" i="12"/>
  <c r="CY61" i="12"/>
  <c r="CX61" i="12"/>
  <c r="CW61" i="12"/>
  <c r="CV61" i="12"/>
  <c r="CU61" i="12"/>
  <c r="CT61" i="12"/>
  <c r="CS61" i="12"/>
  <c r="CR61" i="12"/>
  <c r="CQ61" i="12"/>
  <c r="CP61" i="12"/>
  <c r="CO61" i="12"/>
  <c r="CN61" i="12"/>
  <c r="CM61" i="12"/>
  <c r="CL61" i="12"/>
  <c r="CK61" i="12"/>
  <c r="CJ61" i="12"/>
  <c r="CI61" i="12"/>
  <c r="CH61" i="12"/>
  <c r="CG61" i="12"/>
  <c r="CF61" i="12"/>
  <c r="CE61" i="12"/>
  <c r="CD61" i="12"/>
  <c r="CC61" i="12"/>
  <c r="CB61" i="12"/>
  <c r="CA61" i="12"/>
  <c r="BZ61" i="12"/>
  <c r="BY61" i="12"/>
  <c r="BX61" i="12"/>
  <c r="BW61" i="12"/>
  <c r="BV61" i="12"/>
  <c r="BU61" i="12"/>
  <c r="BT61" i="12"/>
  <c r="BS61" i="12"/>
  <c r="BR61" i="12"/>
  <c r="BQ61" i="12"/>
  <c r="BP61" i="12"/>
  <c r="BO61" i="12"/>
  <c r="BN61" i="12"/>
  <c r="BM61" i="12"/>
  <c r="BL61" i="12"/>
  <c r="BK61" i="12"/>
  <c r="BJ61" i="12"/>
  <c r="BI61" i="12"/>
  <c r="BH61" i="12"/>
  <c r="BG61" i="12"/>
  <c r="BF61" i="12"/>
  <c r="BE61" i="12"/>
  <c r="BD61" i="12"/>
  <c r="BC61" i="12"/>
  <c r="BB61" i="12"/>
  <c r="BA61" i="12"/>
  <c r="AZ61"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T61" i="12"/>
  <c r="S61" i="12"/>
  <c r="R61" i="12"/>
  <c r="Q61" i="12"/>
  <c r="P61" i="12"/>
  <c r="O61" i="12"/>
  <c r="N61" i="12"/>
  <c r="M61" i="12"/>
  <c r="L61" i="12"/>
  <c r="K61" i="12"/>
  <c r="J61" i="12"/>
  <c r="I61" i="12"/>
  <c r="H61" i="12"/>
  <c r="G61" i="12"/>
  <c r="F61" i="12"/>
  <c r="E61" i="12"/>
  <c r="D61" i="12"/>
  <c r="C61" i="12"/>
  <c r="B61" i="12"/>
  <c r="F61" i="11"/>
  <c r="E61" i="11"/>
  <c r="D61" i="11"/>
  <c r="C61" i="11"/>
  <c r="B61" i="11"/>
  <c r="FP61" i="10"/>
  <c r="FO61" i="10"/>
  <c r="FN61" i="10"/>
  <c r="FM61" i="10"/>
  <c r="FL61" i="10"/>
  <c r="FK61" i="10"/>
  <c r="FJ61" i="10"/>
  <c r="FI61" i="10"/>
  <c r="FH61" i="10"/>
  <c r="FG61" i="10"/>
  <c r="FF61" i="10"/>
  <c r="FE61" i="10"/>
  <c r="FD61" i="10"/>
  <c r="FC61" i="10"/>
  <c r="FB61" i="10"/>
  <c r="FA61" i="10"/>
  <c r="EZ61" i="10"/>
  <c r="EY61" i="10"/>
  <c r="EX61" i="10"/>
  <c r="EW61" i="10"/>
  <c r="EV61" i="10"/>
  <c r="EU61" i="10"/>
  <c r="ET61" i="10"/>
  <c r="ES61" i="10"/>
  <c r="ER61" i="10"/>
  <c r="EQ61" i="10"/>
  <c r="EP61" i="10"/>
  <c r="EO61" i="10"/>
  <c r="EN61" i="10"/>
  <c r="EM61" i="10"/>
  <c r="EL61" i="10"/>
  <c r="EK61" i="10"/>
  <c r="EJ61" i="10"/>
  <c r="EI61" i="10"/>
  <c r="EH61" i="10"/>
  <c r="EG61" i="10"/>
  <c r="EF61" i="10"/>
  <c r="EE61" i="10"/>
  <c r="ED61" i="10"/>
  <c r="EC61" i="10"/>
  <c r="EB61" i="10"/>
  <c r="EA61" i="10"/>
  <c r="DZ61" i="10"/>
  <c r="DY61" i="10"/>
  <c r="DX61" i="10"/>
  <c r="DW61" i="10"/>
  <c r="DV61" i="10"/>
  <c r="DU61" i="10"/>
  <c r="DT61" i="10"/>
  <c r="DS61" i="10"/>
  <c r="DR61" i="10"/>
  <c r="DQ61" i="10"/>
  <c r="DP61" i="10"/>
  <c r="DO61" i="10"/>
  <c r="DN61" i="10"/>
  <c r="DM61" i="10"/>
  <c r="DL61" i="10"/>
  <c r="DK61" i="10"/>
  <c r="DJ61" i="10"/>
  <c r="DI61" i="10"/>
  <c r="DH61" i="10"/>
  <c r="DG61" i="10"/>
  <c r="DF61" i="10"/>
  <c r="DE61" i="10"/>
  <c r="DD61" i="10"/>
  <c r="DC61" i="10"/>
  <c r="DB61" i="10"/>
  <c r="DA61" i="10"/>
  <c r="CZ61" i="10"/>
  <c r="CY61" i="10"/>
  <c r="CX61" i="10"/>
  <c r="CW61" i="10"/>
  <c r="CV61" i="10"/>
  <c r="CU61" i="10"/>
  <c r="CT61" i="10"/>
  <c r="CS61" i="10"/>
  <c r="CR61" i="10"/>
  <c r="CQ61" i="10"/>
  <c r="CP61" i="10"/>
  <c r="CO61" i="10"/>
  <c r="CN61" i="10"/>
  <c r="CM61" i="10"/>
  <c r="CL61" i="10"/>
  <c r="CK61" i="10"/>
  <c r="CJ61" i="10"/>
  <c r="CI61" i="10"/>
  <c r="CH61" i="10"/>
  <c r="CG61" i="10"/>
  <c r="CF61" i="10"/>
  <c r="CE61" i="10"/>
  <c r="CD61" i="10"/>
  <c r="CC61" i="10"/>
  <c r="CB61" i="10"/>
  <c r="CA61" i="10"/>
  <c r="BZ61" i="10"/>
  <c r="BY61" i="10"/>
  <c r="BX61" i="10"/>
  <c r="BW61" i="10"/>
  <c r="BV61" i="10"/>
  <c r="BU61" i="10"/>
  <c r="BT61" i="10"/>
  <c r="BS61" i="10"/>
  <c r="BR61" i="10"/>
  <c r="BQ61" i="10"/>
  <c r="BP61" i="10"/>
  <c r="BO61" i="10"/>
  <c r="BN61" i="10"/>
  <c r="BM61" i="10"/>
  <c r="BL61" i="10"/>
  <c r="BK61" i="10"/>
  <c r="BJ61" i="10"/>
  <c r="BI61" i="10"/>
  <c r="BH61" i="10"/>
  <c r="BG61" i="10"/>
  <c r="BF61" i="10"/>
  <c r="BE61" i="10"/>
  <c r="BD61" i="10"/>
  <c r="BC61" i="10"/>
  <c r="BB61" i="10"/>
  <c r="BA61" i="10"/>
  <c r="AZ61" i="10"/>
  <c r="AY61" i="10"/>
  <c r="AX61" i="10"/>
  <c r="AW61" i="10"/>
  <c r="AV61" i="10"/>
  <c r="AU61" i="10"/>
  <c r="AT61" i="10"/>
  <c r="AS61" i="10"/>
  <c r="AR61" i="10"/>
  <c r="AQ61" i="10"/>
  <c r="AP61" i="10"/>
  <c r="AO61" i="10"/>
  <c r="AN61" i="10"/>
  <c r="AM61" i="10"/>
  <c r="AL61" i="10"/>
  <c r="AK61" i="10"/>
  <c r="AJ61" i="10"/>
  <c r="AI61" i="10"/>
  <c r="AH61" i="10"/>
  <c r="AG61" i="10"/>
  <c r="AF61" i="10"/>
  <c r="AE61" i="10"/>
  <c r="AD61" i="10"/>
  <c r="AC61" i="10"/>
  <c r="AB61" i="10"/>
  <c r="AA61" i="10"/>
  <c r="Z61" i="10"/>
  <c r="Y61" i="10"/>
  <c r="X61" i="10"/>
  <c r="W61" i="10"/>
  <c r="V61" i="10"/>
  <c r="U61" i="10"/>
  <c r="T61" i="10"/>
  <c r="S61" i="10"/>
  <c r="R61" i="10"/>
  <c r="Q61" i="10"/>
  <c r="P61" i="10"/>
  <c r="O61" i="10"/>
  <c r="N61" i="10"/>
  <c r="M61" i="10"/>
  <c r="L61" i="10"/>
  <c r="K61" i="10"/>
  <c r="J61" i="10"/>
  <c r="I61" i="10"/>
  <c r="H61" i="10"/>
  <c r="G61" i="10"/>
  <c r="F61" i="10"/>
  <c r="E61" i="10"/>
  <c r="D61" i="10"/>
  <c r="C61" i="10"/>
  <c r="B61" i="10"/>
  <c r="AA61" i="9"/>
  <c r="Z61" i="9"/>
  <c r="Y61" i="9"/>
  <c r="X61" i="9"/>
  <c r="W61" i="9"/>
  <c r="V61" i="9"/>
  <c r="U61" i="9"/>
  <c r="T61" i="9"/>
  <c r="S61" i="9"/>
  <c r="R61" i="9"/>
  <c r="Q61" i="9"/>
  <c r="P61" i="9"/>
  <c r="O61" i="9"/>
  <c r="N61" i="9"/>
  <c r="M61" i="9"/>
  <c r="L61" i="9"/>
  <c r="K61" i="9"/>
  <c r="J61" i="9"/>
  <c r="I61" i="9"/>
  <c r="H61" i="9"/>
  <c r="G61" i="9"/>
  <c r="F61" i="9"/>
  <c r="E61" i="9"/>
  <c r="D61" i="9"/>
  <c r="C61" i="9"/>
  <c r="B61" i="9"/>
  <c r="AH61" i="8"/>
  <c r="AG61" i="8"/>
  <c r="AF61" i="8"/>
  <c r="AE61" i="8"/>
  <c r="AD61" i="8"/>
  <c r="AC61" i="8"/>
  <c r="AB61" i="8"/>
  <c r="AA61" i="8"/>
  <c r="Z61" i="8"/>
  <c r="Y61" i="8"/>
  <c r="X61" i="8"/>
  <c r="W61" i="8"/>
  <c r="V61" i="8"/>
  <c r="U61" i="8"/>
  <c r="T61" i="8"/>
  <c r="S61" i="8"/>
  <c r="R61" i="8"/>
  <c r="Q61" i="8"/>
  <c r="P61" i="8"/>
  <c r="O61" i="8"/>
  <c r="N61" i="8"/>
  <c r="M61" i="8"/>
  <c r="L61" i="8"/>
  <c r="K61" i="8"/>
  <c r="J61" i="8"/>
  <c r="I61" i="8"/>
  <c r="H61" i="8"/>
  <c r="G61" i="8"/>
  <c r="F61" i="8"/>
  <c r="E61" i="8"/>
  <c r="D61" i="8"/>
  <c r="C61" i="8"/>
  <c r="B61" i="8"/>
  <c r="CH61" i="7" l="1"/>
  <c r="CG61" i="7"/>
  <c r="CF61" i="7"/>
  <c r="CE61" i="7"/>
  <c r="CD61" i="7"/>
  <c r="CC61" i="7"/>
  <c r="CB61" i="7"/>
  <c r="CA61" i="7"/>
  <c r="BZ61" i="7"/>
  <c r="BY61" i="7"/>
  <c r="BX61" i="7"/>
  <c r="BW61" i="7"/>
  <c r="BV61" i="7"/>
  <c r="BU61" i="7"/>
  <c r="BT61" i="7"/>
  <c r="BS61" i="7"/>
  <c r="BR61" i="7"/>
  <c r="BQ61" i="7"/>
  <c r="BP61" i="7"/>
  <c r="BO61" i="7"/>
  <c r="BN61" i="7"/>
  <c r="BM61" i="7"/>
  <c r="BL61" i="7"/>
  <c r="BK61" i="7"/>
  <c r="BJ61" i="7"/>
  <c r="BI61" i="7"/>
  <c r="BH61" i="7"/>
  <c r="BG61" i="7"/>
  <c r="BF61" i="7"/>
  <c r="BE61" i="7"/>
  <c r="BD61" i="7"/>
  <c r="BC61" i="7"/>
  <c r="BB61" i="7"/>
  <c r="BA61" i="7"/>
  <c r="AZ61" i="7"/>
  <c r="AY61" i="7"/>
  <c r="AX61" i="7"/>
  <c r="AW61" i="7"/>
  <c r="AV61" i="7"/>
  <c r="AU61" i="7"/>
  <c r="AT61" i="7"/>
  <c r="AS61" i="7"/>
  <c r="AR61" i="7"/>
  <c r="AQ61" i="7"/>
  <c r="AP61" i="7"/>
  <c r="AO61" i="7"/>
  <c r="AN61" i="7"/>
  <c r="AM61" i="7"/>
  <c r="AL61" i="7"/>
  <c r="AK61" i="7"/>
  <c r="AJ61" i="7"/>
  <c r="AI61" i="7"/>
  <c r="AH61" i="7"/>
  <c r="AG61" i="7"/>
  <c r="AF61" i="7"/>
  <c r="AE61" i="7"/>
  <c r="AD61" i="7"/>
  <c r="AC61" i="7"/>
  <c r="AB61" i="7"/>
  <c r="AA61" i="7"/>
  <c r="Z61" i="7"/>
  <c r="Y61" i="7"/>
  <c r="X61" i="7"/>
  <c r="W61" i="7"/>
  <c r="V61" i="7"/>
  <c r="U61" i="7"/>
  <c r="T61" i="7"/>
  <c r="S61" i="7"/>
  <c r="R61" i="7"/>
  <c r="Q61" i="7"/>
  <c r="P61" i="7"/>
  <c r="O61" i="7"/>
  <c r="N61" i="7"/>
  <c r="M61" i="7"/>
  <c r="L61" i="7"/>
  <c r="K61" i="7"/>
  <c r="J61" i="7"/>
  <c r="I61" i="7"/>
  <c r="H61" i="7"/>
  <c r="G61" i="7"/>
  <c r="F61" i="7"/>
  <c r="E61" i="7"/>
  <c r="D61" i="7"/>
  <c r="C61" i="7"/>
  <c r="B61" i="7"/>
  <c r="CF61" i="6" l="1"/>
  <c r="CE61" i="6"/>
  <c r="CD61" i="6"/>
  <c r="CC61" i="6"/>
  <c r="CB61" i="6"/>
  <c r="CA61" i="6"/>
  <c r="BZ61" i="6"/>
  <c r="BY61" i="6"/>
  <c r="BX61" i="6"/>
  <c r="BW61" i="6"/>
  <c r="BV61" i="6"/>
  <c r="BU61" i="6"/>
  <c r="BT61" i="6"/>
  <c r="BS61" i="6"/>
  <c r="BR61" i="6"/>
  <c r="BQ61" i="6"/>
  <c r="BP61" i="6"/>
  <c r="BO61" i="6"/>
  <c r="BN61" i="6"/>
  <c r="BM61" i="6"/>
  <c r="BL61" i="6"/>
  <c r="BK61" i="6"/>
  <c r="BJ61" i="6"/>
  <c r="BI61" i="6"/>
  <c r="BH61" i="6"/>
  <c r="BG61" i="6"/>
  <c r="BF61" i="6"/>
  <c r="BE61" i="6"/>
  <c r="BD61" i="6"/>
  <c r="BC61" i="6"/>
  <c r="BB61" i="6"/>
  <c r="BA61" i="6"/>
  <c r="AZ61" i="6"/>
  <c r="AY61" i="6"/>
  <c r="AX61" i="6"/>
  <c r="AW61" i="6"/>
  <c r="AV61" i="6"/>
  <c r="AU61" i="6"/>
  <c r="AT61" i="6"/>
  <c r="AS61" i="6"/>
  <c r="AR61" i="6"/>
  <c r="AQ61" i="6"/>
  <c r="AP61" i="6"/>
  <c r="AO61" i="6"/>
  <c r="AN61" i="6"/>
  <c r="AM61" i="6"/>
  <c r="AL61" i="6"/>
  <c r="AK61" i="6"/>
  <c r="AJ61" i="6"/>
  <c r="AI61" i="6"/>
  <c r="AH61" i="6"/>
  <c r="AG61" i="6"/>
  <c r="AF61" i="6"/>
  <c r="AE61" i="6"/>
  <c r="AD61" i="6"/>
  <c r="AC61" i="6"/>
  <c r="AB61" i="6"/>
  <c r="AA61" i="6"/>
  <c r="Z61" i="6"/>
  <c r="Y61" i="6"/>
  <c r="X61" i="6"/>
  <c r="W61" i="6"/>
  <c r="V61" i="6"/>
  <c r="U61" i="6"/>
  <c r="T61" i="6"/>
  <c r="S61" i="6"/>
  <c r="R61" i="6"/>
  <c r="Q61" i="6"/>
  <c r="P61" i="6"/>
  <c r="O61" i="6"/>
  <c r="N61" i="6"/>
  <c r="M61" i="6"/>
  <c r="L61" i="6"/>
  <c r="K61" i="6"/>
  <c r="J61" i="6"/>
  <c r="I61" i="6"/>
  <c r="H61" i="6"/>
  <c r="G61" i="6"/>
  <c r="F61" i="6"/>
  <c r="E61" i="6"/>
  <c r="D61" i="6"/>
  <c r="C61" i="6"/>
  <c r="B61" i="6"/>
  <c r="CW61" i="5"/>
  <c r="CV61" i="5"/>
  <c r="CU61" i="5"/>
  <c r="CT61" i="5"/>
  <c r="CS61" i="5"/>
  <c r="CR61" i="5"/>
  <c r="CQ61" i="5"/>
  <c r="CP61" i="5"/>
  <c r="CO61" i="5"/>
  <c r="CN61" i="5"/>
  <c r="CM61" i="5"/>
  <c r="CL61" i="5"/>
  <c r="CK61" i="5"/>
  <c r="CJ61" i="5"/>
  <c r="CI61" i="5"/>
  <c r="CH61" i="5"/>
  <c r="CG61" i="5"/>
  <c r="CF61" i="5"/>
  <c r="CE61" i="5"/>
  <c r="CD61" i="5"/>
  <c r="CC61" i="5"/>
  <c r="CB61" i="5"/>
  <c r="CA61" i="5"/>
  <c r="BZ61" i="5"/>
  <c r="BY61" i="5"/>
  <c r="BX61" i="5"/>
  <c r="BW61" i="5"/>
  <c r="BV61" i="5"/>
  <c r="BU61" i="5"/>
  <c r="BT61" i="5"/>
  <c r="BS61" i="5"/>
  <c r="BR61" i="5"/>
  <c r="BQ61" i="5"/>
  <c r="BP61" i="5"/>
  <c r="BO61" i="5"/>
  <c r="BN61" i="5"/>
  <c r="BM61" i="5"/>
  <c r="BL61" i="5"/>
  <c r="BK61" i="5"/>
  <c r="BJ61" i="5"/>
  <c r="BI61" i="5"/>
  <c r="BH61" i="5"/>
  <c r="BG61" i="5"/>
  <c r="BF61" i="5"/>
  <c r="BE61" i="5"/>
  <c r="BD61" i="5"/>
  <c r="BC61" i="5"/>
  <c r="BB61" i="5"/>
  <c r="BA61" i="5"/>
  <c r="AZ61" i="5"/>
  <c r="AY61" i="5"/>
  <c r="AX61" i="5"/>
  <c r="AW61" i="5"/>
  <c r="AV61" i="5"/>
  <c r="AU61" i="5"/>
  <c r="AT61" i="5"/>
  <c r="AS61" i="5"/>
  <c r="AR61" i="5"/>
  <c r="AQ61" i="5"/>
  <c r="AP61" i="5"/>
  <c r="AO61" i="5"/>
  <c r="AN61" i="5"/>
  <c r="AM61" i="5"/>
  <c r="AL61" i="5"/>
  <c r="AK61" i="5"/>
  <c r="AJ61" i="5"/>
  <c r="AI61" i="5"/>
  <c r="AH61" i="5"/>
  <c r="AG61" i="5"/>
  <c r="AF61" i="5"/>
  <c r="AE61" i="5"/>
  <c r="AD61" i="5"/>
  <c r="AC61" i="5"/>
  <c r="AB61" i="5"/>
  <c r="AA61" i="5"/>
  <c r="Z61" i="5"/>
  <c r="Y61" i="5"/>
  <c r="X61" i="5"/>
  <c r="W61" i="5"/>
  <c r="V61" i="5"/>
  <c r="U61" i="5"/>
  <c r="T61" i="5"/>
  <c r="S61" i="5"/>
  <c r="R61" i="5"/>
  <c r="Q61" i="5"/>
  <c r="P61" i="5"/>
  <c r="O61" i="5"/>
  <c r="N61" i="5"/>
  <c r="M61" i="5"/>
  <c r="L61" i="5"/>
  <c r="K61" i="5"/>
  <c r="J61" i="5"/>
  <c r="I61" i="5"/>
  <c r="H61" i="5"/>
  <c r="G61" i="5"/>
  <c r="F61" i="5"/>
  <c r="E61" i="5"/>
  <c r="D61" i="5"/>
  <c r="C61" i="5"/>
  <c r="B61" i="5"/>
  <c r="BZ61" i="4"/>
  <c r="BY61" i="4"/>
  <c r="BX61" i="4"/>
  <c r="BW61" i="4"/>
  <c r="BV61" i="4"/>
  <c r="BU61" i="4"/>
  <c r="BT61" i="4"/>
  <c r="BS61" i="4"/>
  <c r="BR61" i="4"/>
  <c r="BQ61" i="4"/>
  <c r="BP61" i="4"/>
  <c r="BO61" i="4"/>
  <c r="BN61" i="4"/>
  <c r="BM61" i="4"/>
  <c r="BL61" i="4"/>
  <c r="BK61" i="4"/>
  <c r="BJ61" i="4"/>
  <c r="BI61" i="4"/>
  <c r="BH61" i="4"/>
  <c r="BG61" i="4"/>
  <c r="BF61" i="4"/>
  <c r="BE61" i="4"/>
  <c r="BD61" i="4"/>
  <c r="BC61" i="4"/>
  <c r="BB61" i="4"/>
  <c r="BA61" i="4"/>
  <c r="AZ61" i="4"/>
  <c r="AY61" i="4"/>
  <c r="AX61" i="4"/>
  <c r="AW61" i="4"/>
  <c r="AV61" i="4"/>
  <c r="AU61" i="4"/>
  <c r="AT61" i="4"/>
  <c r="AS61" i="4"/>
  <c r="AR61" i="4"/>
  <c r="AQ61" i="4"/>
  <c r="AP61" i="4"/>
  <c r="AO61" i="4"/>
  <c r="AN61" i="4"/>
  <c r="AM61" i="4"/>
  <c r="AL61" i="4"/>
  <c r="AK61" i="4"/>
  <c r="AJ61" i="4"/>
  <c r="AI61" i="4"/>
  <c r="AH61" i="4"/>
  <c r="AG61" i="4"/>
  <c r="AF61" i="4"/>
  <c r="AE61" i="4"/>
  <c r="AD61" i="4"/>
  <c r="AC61" i="4"/>
  <c r="AB61" i="4"/>
  <c r="AA61" i="4"/>
  <c r="Z61" i="4"/>
  <c r="Y61" i="4"/>
  <c r="X61" i="4"/>
  <c r="W61" i="4"/>
  <c r="V61" i="4"/>
  <c r="U61" i="4"/>
  <c r="T61" i="4"/>
  <c r="S61" i="4"/>
  <c r="R61" i="4"/>
  <c r="Q61" i="4"/>
  <c r="P61" i="4"/>
  <c r="O61" i="4"/>
  <c r="N61" i="4"/>
  <c r="M61" i="4"/>
  <c r="L61" i="4"/>
  <c r="K61" i="4"/>
  <c r="J61" i="4"/>
  <c r="I61" i="4"/>
  <c r="H61" i="4"/>
  <c r="G61" i="4"/>
  <c r="F61" i="4"/>
  <c r="E61" i="4"/>
  <c r="D61" i="4"/>
  <c r="C61" i="4"/>
  <c r="B61" i="4"/>
  <c r="CK61" i="3"/>
  <c r="CJ61" i="3"/>
  <c r="CI61" i="3"/>
  <c r="CH61" i="3"/>
  <c r="CG61" i="3"/>
  <c r="CF61" i="3"/>
  <c r="CE61" i="3"/>
  <c r="CD61" i="3"/>
  <c r="CC61" i="3"/>
  <c r="CB61" i="3"/>
  <c r="CA61" i="3"/>
  <c r="BZ61" i="3"/>
  <c r="BY61" i="3"/>
  <c r="BX61" i="3"/>
  <c r="BW61" i="3"/>
  <c r="BV61" i="3"/>
  <c r="BU61" i="3"/>
  <c r="BT61" i="3"/>
  <c r="BS61" i="3"/>
  <c r="BR61" i="3"/>
  <c r="BQ61" i="3"/>
  <c r="BP61" i="3"/>
  <c r="BO61" i="3"/>
  <c r="BN61" i="3"/>
  <c r="BM61" i="3"/>
  <c r="BL61" i="3"/>
  <c r="BK61" i="3"/>
  <c r="BJ61" i="3"/>
  <c r="BI61" i="3"/>
  <c r="BH61" i="3"/>
  <c r="BG61" i="3"/>
  <c r="BF61" i="3"/>
  <c r="BE61" i="3"/>
  <c r="BD61" i="3"/>
  <c r="BC61" i="3"/>
  <c r="BB61" i="3"/>
  <c r="BA61" i="3"/>
  <c r="AZ61" i="3"/>
  <c r="AY61" i="3"/>
  <c r="AX61" i="3"/>
  <c r="AW61" i="3"/>
  <c r="AV61" i="3"/>
  <c r="AU61" i="3"/>
  <c r="AT61" i="3"/>
  <c r="AS61" i="3"/>
  <c r="AR61" i="3"/>
  <c r="AQ61" i="3"/>
  <c r="AP61" i="3"/>
  <c r="AO61" i="3"/>
  <c r="AN61" i="3"/>
  <c r="AM61" i="3"/>
  <c r="AL61" i="3"/>
  <c r="AK61" i="3"/>
  <c r="AJ61" i="3"/>
  <c r="AI61" i="3"/>
  <c r="AH61" i="3"/>
  <c r="AG61" i="3"/>
  <c r="AF61" i="3"/>
  <c r="AE61" i="3"/>
  <c r="AD61" i="3"/>
  <c r="AC61" i="3"/>
  <c r="AB61" i="3"/>
  <c r="AA61" i="3"/>
  <c r="Z61" i="3"/>
  <c r="Y61" i="3"/>
  <c r="X61" i="3"/>
  <c r="W61" i="3"/>
  <c r="V61" i="3"/>
  <c r="U61" i="3"/>
  <c r="T61" i="3"/>
  <c r="S61" i="3"/>
  <c r="R61" i="3"/>
  <c r="Q61" i="3"/>
  <c r="P61" i="3"/>
  <c r="O61" i="3"/>
  <c r="N61" i="3"/>
  <c r="M61" i="3"/>
  <c r="L61" i="3"/>
  <c r="K61" i="3"/>
  <c r="J61" i="3"/>
  <c r="I61" i="3"/>
  <c r="H61" i="3"/>
  <c r="G61" i="3"/>
  <c r="F61" i="3"/>
  <c r="E61" i="3"/>
  <c r="D61" i="3"/>
  <c r="C61" i="3"/>
  <c r="B61" i="3"/>
</calcChain>
</file>

<file path=xl/sharedStrings.xml><?xml version="1.0" encoding="utf-8"?>
<sst xmlns="http://schemas.openxmlformats.org/spreadsheetml/2006/main" count="15605" uniqueCount="3894">
  <si>
    <t>Q2.2</t>
  </si>
  <si>
    <t>Q2.3</t>
  </si>
  <si>
    <t>Q2.3_3_TEXT</t>
  </si>
  <si>
    <t>Q2.4</t>
  </si>
  <si>
    <t>Q2.5</t>
  </si>
  <si>
    <t>Q2.6</t>
  </si>
  <si>
    <t>Q2.7</t>
  </si>
  <si>
    <t>Q2.8</t>
  </si>
  <si>
    <t>Q2.9</t>
  </si>
  <si>
    <t>Q2.10</t>
  </si>
  <si>
    <t>Q2.11</t>
  </si>
  <si>
    <t>Q2.11_3_TEXT</t>
  </si>
  <si>
    <t>Q2.13</t>
  </si>
  <si>
    <t>Q2.13_8_TEXT</t>
  </si>
  <si>
    <t>Q2.14</t>
  </si>
  <si>
    <t>Q2.15</t>
  </si>
  <si>
    <t>Q2.16</t>
  </si>
  <si>
    <t>Q2.16_7_TEXT</t>
  </si>
  <si>
    <t>Q2.17</t>
  </si>
  <si>
    <t>Q2.17_6_TEXT</t>
  </si>
  <si>
    <t>Q2.18</t>
  </si>
  <si>
    <t>Q2.18_6_TEXT</t>
  </si>
  <si>
    <t>Q2.19</t>
  </si>
  <si>
    <t>Q2.20</t>
  </si>
  <si>
    <t>Q2.21</t>
  </si>
  <si>
    <t>Q2.22</t>
  </si>
  <si>
    <t>Q2.22_4_TEXT</t>
  </si>
  <si>
    <t>Q2.23</t>
  </si>
  <si>
    <t>Q2.23_7_TEXT</t>
  </si>
  <si>
    <t>Q2.24</t>
  </si>
  <si>
    <t>Q2.25</t>
  </si>
  <si>
    <t>Q2.26</t>
  </si>
  <si>
    <t>Q2.26_13_TEXT</t>
  </si>
  <si>
    <t>Q2.27</t>
  </si>
  <si>
    <t>Q2.28</t>
  </si>
  <si>
    <t>Q2.29</t>
  </si>
  <si>
    <t>Q2.30</t>
  </si>
  <si>
    <t>Q2.31</t>
  </si>
  <si>
    <t>Q2.32</t>
  </si>
  <si>
    <t>Q2.33</t>
  </si>
  <si>
    <t>Q2.34</t>
  </si>
  <si>
    <t>Q2.35</t>
  </si>
  <si>
    <t>Q2.36</t>
  </si>
  <si>
    <t>Q2.37</t>
  </si>
  <si>
    <t>Q2.38</t>
  </si>
  <si>
    <t>Q2.39</t>
  </si>
  <si>
    <t>Q2.40_1</t>
  </si>
  <si>
    <t>Q2.40_2</t>
  </si>
  <si>
    <t>Q2.40_3</t>
  </si>
  <si>
    <t>Q2.40_4</t>
  </si>
  <si>
    <t>Q2.40_5</t>
  </si>
  <si>
    <t>Q2.40_6</t>
  </si>
  <si>
    <t>Q2.40_7</t>
  </si>
  <si>
    <t>Q2.40_7_TEXT</t>
  </si>
  <si>
    <t>Q2.41</t>
  </si>
  <si>
    <t>Q2.41_4_TEXT</t>
  </si>
  <si>
    <t>Q2.42</t>
  </si>
  <si>
    <t>Q2.43</t>
  </si>
  <si>
    <t>Q2.44</t>
  </si>
  <si>
    <t>Q2.44_3_TEXT</t>
  </si>
  <si>
    <t>Q2.45</t>
  </si>
  <si>
    <t>Q2.46</t>
  </si>
  <si>
    <t>Q2.47</t>
  </si>
  <si>
    <t>Q2.48</t>
  </si>
  <si>
    <t>Q2.49</t>
  </si>
  <si>
    <t>Q2.50</t>
  </si>
  <si>
    <t>Q2.51</t>
  </si>
  <si>
    <t>Q2.52</t>
  </si>
  <si>
    <t>Q2.53</t>
  </si>
  <si>
    <t>Q2.54</t>
  </si>
  <si>
    <t>Q2.55</t>
  </si>
  <si>
    <t>Q2.56</t>
  </si>
  <si>
    <t>Q2.57</t>
  </si>
  <si>
    <t>Q2.58</t>
  </si>
  <si>
    <t>Q2.59</t>
  </si>
  <si>
    <t>Q2.59_5_TEXT</t>
  </si>
  <si>
    <t>Q2.60</t>
  </si>
  <si>
    <t>Q2.61</t>
  </si>
  <si>
    <t>Q2.62</t>
  </si>
  <si>
    <t>Q2.63</t>
  </si>
  <si>
    <t>Q2.64</t>
  </si>
  <si>
    <t>Q2.65</t>
  </si>
  <si>
    <t>Q2.66</t>
  </si>
  <si>
    <t>Q2.67</t>
  </si>
  <si>
    <t>Q2.68</t>
  </si>
  <si>
    <t>Q2.69</t>
  </si>
  <si>
    <t>Q2.70</t>
  </si>
  <si>
    <t>Q2.71</t>
  </si>
  <si>
    <t>Q3.2</t>
  </si>
  <si>
    <t>Q3.4</t>
  </si>
  <si>
    <t>Q3.5</t>
  </si>
  <si>
    <t>Q3.5_4_TEXT</t>
  </si>
  <si>
    <t>Q3.6</t>
  </si>
  <si>
    <t>Q3.6_4_TEXT</t>
  </si>
  <si>
    <t>Q3.7</t>
  </si>
  <si>
    <t>Q3.8</t>
  </si>
  <si>
    <t>Q3.9</t>
  </si>
  <si>
    <t>Q3.10</t>
  </si>
  <si>
    <t>Q3.10_3_TEXT</t>
  </si>
  <si>
    <t>Q3.11</t>
  </si>
  <si>
    <t>Q3.12</t>
  </si>
  <si>
    <t>Q3.13</t>
  </si>
  <si>
    <t>Q3.15</t>
  </si>
  <si>
    <t>Q3.15_8_TEXT</t>
  </si>
  <si>
    <t>Q3.16</t>
  </si>
  <si>
    <t>Q3.17</t>
  </si>
  <si>
    <t>Q3.18</t>
  </si>
  <si>
    <t>Q3.18_7_TEXT</t>
  </si>
  <si>
    <t>Q3.19</t>
  </si>
  <si>
    <t>Q3.19_9_TEXT</t>
  </si>
  <si>
    <t>Q3.20</t>
  </si>
  <si>
    <t>Q3.21</t>
  </si>
  <si>
    <t>Q3.22</t>
  </si>
  <si>
    <t>Q3.23</t>
  </si>
  <si>
    <t>Q3.24</t>
  </si>
  <si>
    <t>Q3.25</t>
  </si>
  <si>
    <t>Q3.26</t>
  </si>
  <si>
    <t>Q3.27_1</t>
  </si>
  <si>
    <t>Q3.27_2</t>
  </si>
  <si>
    <t>Q3.27_3</t>
  </si>
  <si>
    <t>Q3.27_4</t>
  </si>
  <si>
    <t>Q3.27_5</t>
  </si>
  <si>
    <t>Q3.27_6</t>
  </si>
  <si>
    <t>Q3.27_7</t>
  </si>
  <si>
    <t>Q3.27_7_TEXT</t>
  </si>
  <si>
    <t>Q3.28</t>
  </si>
  <si>
    <t>Q3.29</t>
  </si>
  <si>
    <t>Q3.30</t>
  </si>
  <si>
    <t>Q3.31</t>
  </si>
  <si>
    <t>Q3.32</t>
  </si>
  <si>
    <t>Q3.33</t>
  </si>
  <si>
    <t>Q3.34</t>
  </si>
  <si>
    <t>Q3.35</t>
  </si>
  <si>
    <t>Q3.35_4_TEXT</t>
  </si>
  <si>
    <t>Q3.37</t>
  </si>
  <si>
    <t>Q3.39</t>
  </si>
  <si>
    <t>Q3.39_3_TEXT</t>
  </si>
  <si>
    <t>Q3.41</t>
  </si>
  <si>
    <t>Q3.42</t>
  </si>
  <si>
    <t>Q3.42_8_TEXT</t>
  </si>
  <si>
    <t>Q3.43</t>
  </si>
  <si>
    <t>Q3.44</t>
  </si>
  <si>
    <t>Q3.45</t>
  </si>
  <si>
    <t>Q3.45_7_TEXT</t>
  </si>
  <si>
    <t>Q3.46</t>
  </si>
  <si>
    <t>Q3.46_5_TEXT</t>
  </si>
  <si>
    <t>Q3.47</t>
  </si>
  <si>
    <t>Q3.48</t>
  </si>
  <si>
    <t>Q3.49</t>
  </si>
  <si>
    <t>Q3.50</t>
  </si>
  <si>
    <t>Q3.51</t>
  </si>
  <si>
    <t>Q3.52</t>
  </si>
  <si>
    <t>Q3.53</t>
  </si>
  <si>
    <t>Q3.54_1</t>
  </si>
  <si>
    <t>Q3.54_2</t>
  </si>
  <si>
    <t>Q3.54_3</t>
  </si>
  <si>
    <t>Q3.54_4</t>
  </si>
  <si>
    <t>Q3.54_5</t>
  </si>
  <si>
    <t>Q3.54_6</t>
  </si>
  <si>
    <t>Q3.54_7</t>
  </si>
  <si>
    <t>Q3.54_7_TEXT</t>
  </si>
  <si>
    <t>Q3.55</t>
  </si>
  <si>
    <t>Q3.56</t>
  </si>
  <si>
    <t>Q3.57</t>
  </si>
  <si>
    <t>Q3.57_5_TEXT</t>
  </si>
  <si>
    <t>Q4.2</t>
  </si>
  <si>
    <t>Q4.3</t>
  </si>
  <si>
    <t>Q4.4</t>
  </si>
  <si>
    <t>Q4.5</t>
  </si>
  <si>
    <t>Q4.7</t>
  </si>
  <si>
    <t>Q4.7_8_TEXT</t>
  </si>
  <si>
    <t>Q4.8</t>
  </si>
  <si>
    <t>Q4.9</t>
  </si>
  <si>
    <t>Q4.10</t>
  </si>
  <si>
    <t>Q4.10_7_TEXT</t>
  </si>
  <si>
    <t>Q4.11</t>
  </si>
  <si>
    <t>Q4.12</t>
  </si>
  <si>
    <t>Q4.13</t>
  </si>
  <si>
    <t>Q4.14</t>
  </si>
  <si>
    <t>Q4.15</t>
  </si>
  <si>
    <t>Q4.15_4_TEXT</t>
  </si>
  <si>
    <t>Q4.16</t>
  </si>
  <si>
    <t>Q4.17</t>
  </si>
  <si>
    <t>Q4.18</t>
  </si>
  <si>
    <t>Q4.19</t>
  </si>
  <si>
    <t>Q4.20</t>
  </si>
  <si>
    <t>Q4.21</t>
  </si>
  <si>
    <t>Q4.22</t>
  </si>
  <si>
    <t>Q4.23</t>
  </si>
  <si>
    <t>Q4.24</t>
  </si>
  <si>
    <t>Q4.25</t>
  </si>
  <si>
    <t>Q4.26</t>
  </si>
  <si>
    <t>Q4.26_7_TEXT</t>
  </si>
  <si>
    <t>Q4.27</t>
  </si>
  <si>
    <t>Q4.28</t>
  </si>
  <si>
    <t>Q4.29</t>
  </si>
  <si>
    <t>Q4.30</t>
  </si>
  <si>
    <t>Q4.30_5_TEXT</t>
  </si>
  <si>
    <t>Q4.32</t>
  </si>
  <si>
    <t>Q4.33</t>
  </si>
  <si>
    <t>Q4.33_3_TEXT</t>
  </si>
  <si>
    <t>Q4.34</t>
  </si>
  <si>
    <t>Q4.34_4_TEXT</t>
  </si>
  <si>
    <t>Q4.35</t>
  </si>
  <si>
    <t>Q4.36</t>
  </si>
  <si>
    <t>Q4.37</t>
  </si>
  <si>
    <t>Q4.38</t>
  </si>
  <si>
    <t>Q4.40</t>
  </si>
  <si>
    <t>Q4.40_8_TEXT</t>
  </si>
  <si>
    <t>Q4.41</t>
  </si>
  <si>
    <t>Q4.42</t>
  </si>
  <si>
    <t>Q4.43</t>
  </si>
  <si>
    <t>Q4.43_5_TEXT</t>
  </si>
  <si>
    <t>Q4.44</t>
  </si>
  <si>
    <t>Q4.44_3_TEXT</t>
  </si>
  <si>
    <t>Q4.45</t>
  </si>
  <si>
    <t>Q4.45_7_TEXT</t>
  </si>
  <si>
    <t>Q4.46</t>
  </si>
  <si>
    <t>Q4.47</t>
  </si>
  <si>
    <t>Q4.48</t>
  </si>
  <si>
    <t>Q4.49</t>
  </si>
  <si>
    <t>Q4.50</t>
  </si>
  <si>
    <t>Q4.51</t>
  </si>
  <si>
    <t>Q4.51_4_TEXT</t>
  </si>
  <si>
    <t>Q4.52</t>
  </si>
  <si>
    <t>Q4.53</t>
  </si>
  <si>
    <t>Q4.54</t>
  </si>
  <si>
    <t>Q4.55</t>
  </si>
  <si>
    <t>Q4.56</t>
  </si>
  <si>
    <t>Q4.57</t>
  </si>
  <si>
    <t>Q4.58</t>
  </si>
  <si>
    <t>Q4.59</t>
  </si>
  <si>
    <t>Q4.60</t>
  </si>
  <si>
    <t>Q4.61</t>
  </si>
  <si>
    <t>Q4.62</t>
  </si>
  <si>
    <t>Q4.63</t>
  </si>
  <si>
    <t>Q4.63_5_TEXT</t>
  </si>
  <si>
    <t>Q4.65</t>
  </si>
  <si>
    <t>Q4.66</t>
  </si>
  <si>
    <t>Q4.67</t>
  </si>
  <si>
    <t>Q4.68</t>
  </si>
  <si>
    <t>Q4.70</t>
  </si>
  <si>
    <t>Q4.70_8_TEXT</t>
  </si>
  <si>
    <t>Q4.71</t>
  </si>
  <si>
    <t>Q4.72</t>
  </si>
  <si>
    <t>Q4.73</t>
  </si>
  <si>
    <t>Q4.73_7_TEXT</t>
  </si>
  <si>
    <t>Q4.74</t>
  </si>
  <si>
    <t>Q4.75</t>
  </si>
  <si>
    <t>Q4.76</t>
  </si>
  <si>
    <t>Q4.77</t>
  </si>
  <si>
    <t>Q4.78</t>
  </si>
  <si>
    <t>Q4.79</t>
  </si>
  <si>
    <t>Q4.80</t>
  </si>
  <si>
    <t>Q4.81</t>
  </si>
  <si>
    <t>Q4.82</t>
  </si>
  <si>
    <t>Q4.83</t>
  </si>
  <si>
    <t>Q4.84</t>
  </si>
  <si>
    <t>Q4.85</t>
  </si>
  <si>
    <t>Q4.86</t>
  </si>
  <si>
    <t>Q4.87</t>
  </si>
  <si>
    <t>Q4.88</t>
  </si>
  <si>
    <t>Q4.89</t>
  </si>
  <si>
    <t>Q4.90</t>
  </si>
  <si>
    <t>Q4.91</t>
  </si>
  <si>
    <t>Q5.2</t>
  </si>
  <si>
    <t>Q5.4</t>
  </si>
  <si>
    <t>Q5.5</t>
  </si>
  <si>
    <t>Q5.5_3_TEXT</t>
  </si>
  <si>
    <t>Q5.6</t>
  </si>
  <si>
    <t>Q5.6_4_TEXT</t>
  </si>
  <si>
    <t>Q5.7</t>
  </si>
  <si>
    <t>Q5.8</t>
  </si>
  <si>
    <t>Q5.9</t>
  </si>
  <si>
    <t>Q5.11</t>
  </si>
  <si>
    <t>Q5.11_8_TEXT</t>
  </si>
  <si>
    <t>Q5.12</t>
  </si>
  <si>
    <t>Q5.13</t>
  </si>
  <si>
    <t>Q5.14</t>
  </si>
  <si>
    <t>Q5.14_7_TEXT</t>
  </si>
  <si>
    <t>Q5.15</t>
  </si>
  <si>
    <t>Q5.16</t>
  </si>
  <si>
    <t>Q5.17</t>
  </si>
  <si>
    <t>Q5.18</t>
  </si>
  <si>
    <t>Q5.19</t>
  </si>
  <si>
    <t>Q5.20</t>
  </si>
  <si>
    <t>Q5.21</t>
  </si>
  <si>
    <t>Q5.22</t>
  </si>
  <si>
    <t>Q5.22_3_TEXT</t>
  </si>
  <si>
    <t>Q5.23</t>
  </si>
  <si>
    <t>Q5.24</t>
  </si>
  <si>
    <t>Q5.25</t>
  </si>
  <si>
    <t>Q5.26</t>
  </si>
  <si>
    <t>Q5.27</t>
  </si>
  <si>
    <t>Q5.28</t>
  </si>
  <si>
    <t>Q5.29</t>
  </si>
  <si>
    <t>Q5.30</t>
  </si>
  <si>
    <t>Q5.31</t>
  </si>
  <si>
    <t>Q5.32</t>
  </si>
  <si>
    <t>Q5.33</t>
  </si>
  <si>
    <t>Q5.34</t>
  </si>
  <si>
    <t>Q5.35</t>
  </si>
  <si>
    <t>Q5.37</t>
  </si>
  <si>
    <t>Q5.39</t>
  </si>
  <si>
    <t>Q5.39_3_TEXT</t>
  </si>
  <si>
    <t>Q5.40</t>
  </si>
  <si>
    <t>Q5.40_3_TEXT</t>
  </si>
  <si>
    <t>Q5.41</t>
  </si>
  <si>
    <t>Q5.41_4_TEXT</t>
  </si>
  <si>
    <t>Q5.42</t>
  </si>
  <si>
    <t>Q5.43</t>
  </si>
  <si>
    <t>Q5.44</t>
  </si>
  <si>
    <t>Q5.46</t>
  </si>
  <si>
    <t>Q5.46_8_TEXT</t>
  </si>
  <si>
    <t>Q5.47</t>
  </si>
  <si>
    <t>Q5.48</t>
  </si>
  <si>
    <t>Q5.49</t>
  </si>
  <si>
    <t>Q5.49_6_TEXT</t>
  </si>
  <si>
    <t>Q5.50</t>
  </si>
  <si>
    <t>Q5.50_3_TEXT</t>
  </si>
  <si>
    <t>Q5.51</t>
  </si>
  <si>
    <t>Q5.51_7_TEXT</t>
  </si>
  <si>
    <t>Q5.52</t>
  </si>
  <si>
    <t>Q5.53</t>
  </si>
  <si>
    <t>Q5.54</t>
  </si>
  <si>
    <t>Q5.55</t>
  </si>
  <si>
    <t>Q5.56</t>
  </si>
  <si>
    <t>Q5.57</t>
  </si>
  <si>
    <t>Q5.58</t>
  </si>
  <si>
    <t>Q5.59</t>
  </si>
  <si>
    <t>Q5.59_3_TEXT</t>
  </si>
  <si>
    <t>Q5.60</t>
  </si>
  <si>
    <t>Q5.61</t>
  </si>
  <si>
    <t>Q5.62</t>
  </si>
  <si>
    <t>Q5.63</t>
  </si>
  <si>
    <t>Q5.63_5_TEXT</t>
  </si>
  <si>
    <t>Q5.64</t>
  </si>
  <si>
    <t>Q5.65</t>
  </si>
  <si>
    <t>Q5.66</t>
  </si>
  <si>
    <t>Q5.67</t>
  </si>
  <si>
    <t>Q5.68</t>
  </si>
  <si>
    <t>Q5.69</t>
  </si>
  <si>
    <t>Q5.70</t>
  </si>
  <si>
    <t>Q5.71</t>
  </si>
  <si>
    <t>Q5.72</t>
  </si>
  <si>
    <t>Q5.73</t>
  </si>
  <si>
    <t>Q5.74</t>
  </si>
  <si>
    <t>Q5.74_5_TEXT</t>
  </si>
  <si>
    <t>Q6.2</t>
  </si>
  <si>
    <t>Q6.3</t>
  </si>
  <si>
    <t>Q6.4</t>
  </si>
  <si>
    <t>Q6.5</t>
  </si>
  <si>
    <t>Q6.6</t>
  </si>
  <si>
    <t>Q6.7</t>
  </si>
  <si>
    <t>Q6.9</t>
  </si>
  <si>
    <t>Q6.10</t>
  </si>
  <si>
    <t>Q6.12</t>
  </si>
  <si>
    <t>Q6.12_8_TEXT</t>
  </si>
  <si>
    <t>Q6.13</t>
  </si>
  <si>
    <t>Q6.14</t>
  </si>
  <si>
    <t>Q6.15</t>
  </si>
  <si>
    <t>Q6.15_6_TEXT</t>
  </si>
  <si>
    <t>Q6.16</t>
  </si>
  <si>
    <t>Q6.17</t>
  </si>
  <si>
    <t>Q6.18</t>
  </si>
  <si>
    <t>Q6.18_5_TEXT</t>
  </si>
  <si>
    <t>Q6.19</t>
  </si>
  <si>
    <t>Q6.20</t>
  </si>
  <si>
    <t>Q6.21</t>
  </si>
  <si>
    <t>Q6.22</t>
  </si>
  <si>
    <t>Q6.23</t>
  </si>
  <si>
    <t>Q6.24</t>
  </si>
  <si>
    <t>Q6.25</t>
  </si>
  <si>
    <t>Q6.26</t>
  </si>
  <si>
    <t>Q6.27</t>
  </si>
  <si>
    <t>Q6.28</t>
  </si>
  <si>
    <t>Q6.29</t>
  </si>
  <si>
    <t>Q6.30</t>
  </si>
  <si>
    <t>Q6.31</t>
  </si>
  <si>
    <t>Q6.32</t>
  </si>
  <si>
    <t>Q6.32_4_TEXT</t>
  </si>
  <si>
    <t>Q6.33</t>
  </si>
  <si>
    <t>Q6.33_4_TEXT</t>
  </si>
  <si>
    <t>Q6.34</t>
  </si>
  <si>
    <t>Q6.35</t>
  </si>
  <si>
    <t>Q6.36</t>
  </si>
  <si>
    <t>Q6.37</t>
  </si>
  <si>
    <t>Q6.37_5_TEXT</t>
  </si>
  <si>
    <t>Q6.39</t>
  </si>
  <si>
    <t>Q6.40</t>
  </si>
  <si>
    <t>Q6.42</t>
  </si>
  <si>
    <t>Q6.42_8_TEXT</t>
  </si>
  <si>
    <t>Q6.43</t>
  </si>
  <si>
    <t>Q6.44</t>
  </si>
  <si>
    <t>Q6.45</t>
  </si>
  <si>
    <t>Q6.45_6_TEXT</t>
  </si>
  <si>
    <t>Q6.46</t>
  </si>
  <si>
    <t>Q6.47</t>
  </si>
  <si>
    <t>Q6.48</t>
  </si>
  <si>
    <t>Q6.49</t>
  </si>
  <si>
    <t>Q6.50</t>
  </si>
  <si>
    <t>Q6.51</t>
  </si>
  <si>
    <t>Q6.52</t>
  </si>
  <si>
    <t>Q6.53</t>
  </si>
  <si>
    <t>Q6.54</t>
  </si>
  <si>
    <t>Q6.55</t>
  </si>
  <si>
    <t>Q6.56</t>
  </si>
  <si>
    <t>Q6.57</t>
  </si>
  <si>
    <t>Q6.58</t>
  </si>
  <si>
    <t>Q6.59</t>
  </si>
  <si>
    <t>Q6.59_5_TEXT</t>
  </si>
  <si>
    <t>Q6.60</t>
  </si>
  <si>
    <t>Q6.61</t>
  </si>
  <si>
    <t>Q6.62</t>
  </si>
  <si>
    <t>Q6.63</t>
  </si>
  <si>
    <t>Q6.64</t>
  </si>
  <si>
    <t>Q6.65</t>
  </si>
  <si>
    <t>Q6.66</t>
  </si>
  <si>
    <t>Q6.67</t>
  </si>
  <si>
    <t>Q6.68</t>
  </si>
  <si>
    <t>Q6.69</t>
  </si>
  <si>
    <t>Q6.71</t>
  </si>
  <si>
    <t>Q6.73</t>
  </si>
  <si>
    <t>Q6.75</t>
  </si>
  <si>
    <t>Q6.77</t>
  </si>
  <si>
    <t>Q6.78</t>
  </si>
  <si>
    <t>Q6.80</t>
  </si>
  <si>
    <t>Q6.80_8_TEXT</t>
  </si>
  <si>
    <t>Q6.81</t>
  </si>
  <si>
    <t>Q6.82</t>
  </si>
  <si>
    <t>Q6.82_3_TEXT</t>
  </si>
  <si>
    <t>Q6.83</t>
  </si>
  <si>
    <t>Q6.85</t>
  </si>
  <si>
    <t>Q7.2</t>
  </si>
  <si>
    <t>Q7.3</t>
  </si>
  <si>
    <t>Q7.4</t>
  </si>
  <si>
    <t>Q7.4_9_TEXT</t>
  </si>
  <si>
    <t>Q7.5</t>
  </si>
  <si>
    <t>Q7.5_7_TEXT</t>
  </si>
  <si>
    <t>Q7.6</t>
  </si>
  <si>
    <t>Q7.6_6_TEXT</t>
  </si>
  <si>
    <t>Q7.7</t>
  </si>
  <si>
    <t>Q7.7_17_TEXT</t>
  </si>
  <si>
    <t>Q7.8</t>
  </si>
  <si>
    <t>Q7.8_6_TEXT</t>
  </si>
  <si>
    <t>Q7.9</t>
  </si>
  <si>
    <t>Q7.10</t>
  </si>
  <si>
    <t>Q7.10_4_TEXT</t>
  </si>
  <si>
    <t>Q7.11</t>
  </si>
  <si>
    <t>Q7.12</t>
  </si>
  <si>
    <t>Q7.12_6_TEXT</t>
  </si>
  <si>
    <t>Q7.13</t>
  </si>
  <si>
    <t>Q7.13_17_TEXT</t>
  </si>
  <si>
    <t>Q7.14</t>
  </si>
  <si>
    <t>Q7.15</t>
  </si>
  <si>
    <t>Q7.15_8_TEXT</t>
  </si>
  <si>
    <t>Q7.16</t>
  </si>
  <si>
    <t>Q7.16_6_TEXT</t>
  </si>
  <si>
    <t>Q7.17</t>
  </si>
  <si>
    <t>Q7.18</t>
  </si>
  <si>
    <t>Q7.19</t>
  </si>
  <si>
    <t>Q7.19_7_TEXT</t>
  </si>
  <si>
    <t>Q7.20</t>
  </si>
  <si>
    <t>Q7.21</t>
  </si>
  <si>
    <t>Q7.22</t>
  </si>
  <si>
    <t>Q7.23</t>
  </si>
  <si>
    <t>Q8.2</t>
  </si>
  <si>
    <t>Q8.3</t>
  </si>
  <si>
    <t>Q8.4</t>
  </si>
  <si>
    <t>Q8.5</t>
  </si>
  <si>
    <t>Q8.6</t>
  </si>
  <si>
    <t>Q8.7</t>
  </si>
  <si>
    <t>Q8.8</t>
  </si>
  <si>
    <t>Q8.8_16_TEXT</t>
  </si>
  <si>
    <t>Q8.9</t>
  </si>
  <si>
    <t>Q8.9_7_TEXT</t>
  </si>
  <si>
    <t>Q8.10</t>
  </si>
  <si>
    <t>Q8.11</t>
  </si>
  <si>
    <t>Q8.12</t>
  </si>
  <si>
    <t>Q8.13</t>
  </si>
  <si>
    <t>Q8.14</t>
  </si>
  <si>
    <t>Q8.15</t>
  </si>
  <si>
    <t>Q8.16</t>
  </si>
  <si>
    <t>Q8.17</t>
  </si>
  <si>
    <t>Q8.17_3_TEXT</t>
  </si>
  <si>
    <t>Q8.18</t>
  </si>
  <si>
    <t>Q8.19</t>
  </si>
  <si>
    <t>Q8.20</t>
  </si>
  <si>
    <t>Q8.21</t>
  </si>
  <si>
    <t>Q8.22</t>
  </si>
  <si>
    <t>Q8.22_3_TEXT</t>
  </si>
  <si>
    <t>Q8.23</t>
  </si>
  <si>
    <t>Q9.2</t>
  </si>
  <si>
    <t>Q9.4</t>
  </si>
  <si>
    <t>Q9.5</t>
  </si>
  <si>
    <t>Q9.6</t>
  </si>
  <si>
    <t>Q9.6_8_TEXT</t>
  </si>
  <si>
    <t>Q9.7</t>
  </si>
  <si>
    <t>Q9.8</t>
  </si>
  <si>
    <t>Q9.9</t>
  </si>
  <si>
    <t>Q9.10</t>
  </si>
  <si>
    <t>Q9.11</t>
  </si>
  <si>
    <t>Q9.12</t>
  </si>
  <si>
    <t>Q9.13</t>
  </si>
  <si>
    <t>Q9.14</t>
  </si>
  <si>
    <t>Q9.15</t>
  </si>
  <si>
    <t>Q9.16</t>
  </si>
  <si>
    <t>Q9.17</t>
  </si>
  <si>
    <t>Q9.18</t>
  </si>
  <si>
    <t>Q9.19</t>
  </si>
  <si>
    <t>Q9.20</t>
  </si>
  <si>
    <t>Q9.21</t>
  </si>
  <si>
    <t>Q9.22</t>
  </si>
  <si>
    <t>Q9.24</t>
  </si>
  <si>
    <t>Q9.25</t>
  </si>
  <si>
    <t>Q9.26</t>
  </si>
  <si>
    <t>Q9.26_8_TEXT</t>
  </si>
  <si>
    <t>Q9.27</t>
  </si>
  <si>
    <t>Q9.28</t>
  </si>
  <si>
    <t>Q9.30</t>
  </si>
  <si>
    <t>Q9.31</t>
  </si>
  <si>
    <t>Q9.32</t>
  </si>
  <si>
    <t>Q9.32_8_TEXT</t>
  </si>
  <si>
    <t>Q9.33</t>
  </si>
  <si>
    <t>Q9.34</t>
  </si>
  <si>
    <t>Q9.36</t>
  </si>
  <si>
    <t>Q9.37</t>
  </si>
  <si>
    <t>Q9.38</t>
  </si>
  <si>
    <t>Q9.38_8_TEXT</t>
  </si>
  <si>
    <t>Q9.39</t>
  </si>
  <si>
    <t>Q9.40</t>
  </si>
  <si>
    <t>Q9.42</t>
  </si>
  <si>
    <t>Q9.43</t>
  </si>
  <si>
    <t>Q9.44</t>
  </si>
  <si>
    <t>Q9.44_8_TEXT</t>
  </si>
  <si>
    <t>Q9.45</t>
  </si>
  <si>
    <t>Q9.46</t>
  </si>
  <si>
    <t>Q9.48</t>
  </si>
  <si>
    <t>Q9.49</t>
  </si>
  <si>
    <t>Q9.50</t>
  </si>
  <si>
    <t>Q9.50_8_TEXT</t>
  </si>
  <si>
    <t>Q9.51</t>
  </si>
  <si>
    <t>Q9.52</t>
  </si>
  <si>
    <t>Q9.54</t>
  </si>
  <si>
    <t>Q9.55</t>
  </si>
  <si>
    <t>Q9.56</t>
  </si>
  <si>
    <t>Q9.56_8_TEXT</t>
  </si>
  <si>
    <t>Q9.57</t>
  </si>
  <si>
    <t>Q9.58</t>
  </si>
  <si>
    <t>Q9.60</t>
  </si>
  <si>
    <t>Q9.61</t>
  </si>
  <si>
    <t>Q9.62</t>
  </si>
  <si>
    <t>Q9.62_8_TEXT</t>
  </si>
  <si>
    <t>Q9.63</t>
  </si>
  <si>
    <t>Q9.63_17_TEXT</t>
  </si>
  <si>
    <t>Q9.64</t>
  </si>
  <si>
    <t>Q9.65</t>
  </si>
  <si>
    <t>Q9.66</t>
  </si>
  <si>
    <t>Q9.67</t>
  </si>
  <si>
    <t>Q9.68</t>
  </si>
  <si>
    <t>Q9.70</t>
  </si>
  <si>
    <t>Q9.71</t>
  </si>
  <si>
    <t>Q9.72</t>
  </si>
  <si>
    <t>Q9.72_8_TEXT</t>
  </si>
  <si>
    <t>Q9.73</t>
  </si>
  <si>
    <t>Q9.74</t>
  </si>
  <si>
    <t>Q9.75</t>
  </si>
  <si>
    <t>Q9.76</t>
  </si>
  <si>
    <t>Q9.77</t>
  </si>
  <si>
    <t>Q9.78</t>
  </si>
  <si>
    <t>Q9.79</t>
  </si>
  <si>
    <t>Q9.80</t>
  </si>
  <si>
    <t>Q9.82</t>
  </si>
  <si>
    <t>Q9.83</t>
  </si>
  <si>
    <t>Q9.84</t>
  </si>
  <si>
    <t>Q9.84_8_TEXT</t>
  </si>
  <si>
    <t>Q9.85</t>
  </si>
  <si>
    <t>Q9.86</t>
  </si>
  <si>
    <t>Q9.88</t>
  </si>
  <si>
    <t>Q9.89</t>
  </si>
  <si>
    <t>Q9.90</t>
  </si>
  <si>
    <t>Q9.90_8_TEXT</t>
  </si>
  <si>
    <t>Q9.91</t>
  </si>
  <si>
    <t>Q9.92</t>
  </si>
  <si>
    <t>Q9.93</t>
  </si>
  <si>
    <t>Q9.93_17_TEXT</t>
  </si>
  <si>
    <t>Q9.94</t>
  </si>
  <si>
    <t>Q9.95</t>
  </si>
  <si>
    <t>Q9.96_1</t>
  </si>
  <si>
    <t>Q9.96_2</t>
  </si>
  <si>
    <t>Q9.96_3</t>
  </si>
  <si>
    <t>Q9.96_4</t>
  </si>
  <si>
    <t>Q9.96_5</t>
  </si>
  <si>
    <t>Q9.96_6</t>
  </si>
  <si>
    <t>Q9.96_7</t>
  </si>
  <si>
    <t>Q9.96_8</t>
  </si>
  <si>
    <t>Q9.96_9</t>
  </si>
  <si>
    <t>Q9.96_10</t>
  </si>
  <si>
    <t>Q9.96_11</t>
  </si>
  <si>
    <t>Q9.96_12</t>
  </si>
  <si>
    <t>Q9.96_13</t>
  </si>
  <si>
    <t>Q9.96_14</t>
  </si>
  <si>
    <t>Q9.96_15</t>
  </si>
  <si>
    <t>Q9.96_16</t>
  </si>
  <si>
    <t>Q9.96_17</t>
  </si>
  <si>
    <t>Q9.96_17_TEXT</t>
  </si>
  <si>
    <t>Q9.97</t>
  </si>
  <si>
    <t>Q9.98</t>
  </si>
  <si>
    <t>Q9.100</t>
  </si>
  <si>
    <t>Q9.101</t>
  </si>
  <si>
    <t>Q9.102</t>
  </si>
  <si>
    <t>Q9.102_8_TEXT</t>
  </si>
  <si>
    <t>Q9.103</t>
  </si>
  <si>
    <t>Q9.104</t>
  </si>
  <si>
    <t>Q9.106</t>
  </si>
  <si>
    <t>Q9.107</t>
  </si>
  <si>
    <t>Q9.108</t>
  </si>
  <si>
    <t>Q9.108_8_TEXT</t>
  </si>
  <si>
    <t>Q9.109</t>
  </si>
  <si>
    <t>Q9.110</t>
  </si>
  <si>
    <t>Q9.112</t>
  </si>
  <si>
    <t>Q9.113</t>
  </si>
  <si>
    <t>Q9.114</t>
  </si>
  <si>
    <t>Q9.114_8_TEXT</t>
  </si>
  <si>
    <t>Q9.115</t>
  </si>
  <si>
    <t>Q9.116</t>
  </si>
  <si>
    <t>Q9.117</t>
  </si>
  <si>
    <t>Q9.119</t>
  </si>
  <si>
    <t>Q9.120</t>
  </si>
  <si>
    <t>Q9.121</t>
  </si>
  <si>
    <t>Q9.121_8_TEXT</t>
  </si>
  <si>
    <t>Q9.122</t>
  </si>
  <si>
    <t>Q9.123</t>
  </si>
  <si>
    <t>Q9.124</t>
  </si>
  <si>
    <t>Q9.125</t>
  </si>
  <si>
    <t>Q9.127</t>
  </si>
  <si>
    <t>Q9.128</t>
  </si>
  <si>
    <t>Q9.129</t>
  </si>
  <si>
    <t>Q9.129_8_TEXT</t>
  </si>
  <si>
    <t>Q9.130</t>
  </si>
  <si>
    <t>Q9.131</t>
  </si>
  <si>
    <t>Q9.133</t>
  </si>
  <si>
    <t>Q9.134</t>
  </si>
  <si>
    <t>Q9.135</t>
  </si>
  <si>
    <t>Q9.135_8_TEXT</t>
  </si>
  <si>
    <t>Q9.136</t>
  </si>
  <si>
    <t>Q9.137</t>
  </si>
  <si>
    <t>Q9.138</t>
  </si>
  <si>
    <t>Q9.139</t>
  </si>
  <si>
    <t>Q9.141</t>
  </si>
  <si>
    <t>Q9.141_8_TEXT</t>
  </si>
  <si>
    <t>Q9.142</t>
  </si>
  <si>
    <t>Q9.143</t>
  </si>
  <si>
    <t>Q9.145</t>
  </si>
  <si>
    <t>Q9.146</t>
  </si>
  <si>
    <t>Q9.147</t>
  </si>
  <si>
    <t>Q9.148</t>
  </si>
  <si>
    <t>Q9.148_8_TEXT</t>
  </si>
  <si>
    <t>Q9.149</t>
  </si>
  <si>
    <t>Q9.150</t>
  </si>
  <si>
    <t>Q9.152</t>
  </si>
  <si>
    <t>Q9.153</t>
  </si>
  <si>
    <t>Q9.154</t>
  </si>
  <si>
    <t>Q10.2</t>
  </si>
  <si>
    <t>Q10.4</t>
  </si>
  <si>
    <t>Q10.5</t>
  </si>
  <si>
    <t>Q10.6</t>
  </si>
  <si>
    <t>Q10.7</t>
  </si>
  <si>
    <t>Q11.2</t>
  </si>
  <si>
    <t>Q11.3</t>
  </si>
  <si>
    <t>Q11.4</t>
  </si>
  <si>
    <t>Q11.4_8_TEXT</t>
  </si>
  <si>
    <t>Q11.5</t>
  </si>
  <si>
    <t>Q11.6</t>
  </si>
  <si>
    <t>Q11.7</t>
  </si>
  <si>
    <t>Q11.8</t>
  </si>
  <si>
    <t>Q11.8_8_TEXT</t>
  </si>
  <si>
    <t>Q11.9</t>
  </si>
  <si>
    <t>Q11.10</t>
  </si>
  <si>
    <t>Q11.11</t>
  </si>
  <si>
    <t>Q11.12</t>
  </si>
  <si>
    <t>Q11.12_8_TEXT</t>
  </si>
  <si>
    <t>Q11.13</t>
  </si>
  <si>
    <t>Q11.14</t>
  </si>
  <si>
    <t>Q11.15</t>
  </si>
  <si>
    <t>Q11.16</t>
  </si>
  <si>
    <t>Q11.16_8_TEXT</t>
  </si>
  <si>
    <t>Q11.17</t>
  </si>
  <si>
    <t>Q11.18</t>
  </si>
  <si>
    <t>Q11.19</t>
  </si>
  <si>
    <t>Q11.20</t>
  </si>
  <si>
    <t>Q11.20_8_TEXT</t>
  </si>
  <si>
    <t>Q11.21</t>
  </si>
  <si>
    <t>Q11.22</t>
  </si>
  <si>
    <t>Q11.23</t>
  </si>
  <si>
    <t>Q11.24</t>
  </si>
  <si>
    <t>Q11.24_8_TEXT</t>
  </si>
  <si>
    <t>Q11.25</t>
  </si>
  <si>
    <t>Q11.26</t>
  </si>
  <si>
    <t>Q11.27</t>
  </si>
  <si>
    <t>Q11.27_8_TEXT</t>
  </si>
  <si>
    <t>Q11.28</t>
  </si>
  <si>
    <t>Q11.29</t>
  </si>
  <si>
    <t>Q11.30</t>
  </si>
  <si>
    <t>Q11.31</t>
  </si>
  <si>
    <t>Q11.31_8_TEXT</t>
  </si>
  <si>
    <t>Q11.32</t>
  </si>
  <si>
    <t>Q11.33</t>
  </si>
  <si>
    <t>Q11.34</t>
  </si>
  <si>
    <t>Q11.35</t>
  </si>
  <si>
    <t>Q11.35_8_TEXT</t>
  </si>
  <si>
    <t>Q11.36</t>
  </si>
  <si>
    <t>Q11.37</t>
  </si>
  <si>
    <t>Q11.38</t>
  </si>
  <si>
    <t>Q11.39</t>
  </si>
  <si>
    <t>Q11.39_8_TEXT</t>
  </si>
  <si>
    <t>Q11.40</t>
  </si>
  <si>
    <t>Q11.41</t>
  </si>
  <si>
    <t>Q11.42</t>
  </si>
  <si>
    <t>Q11.43</t>
  </si>
  <si>
    <t>Q11.44</t>
  </si>
  <si>
    <t>Q11.44_8_TEXT</t>
  </si>
  <si>
    <t>Q11.45</t>
  </si>
  <si>
    <t>Q11.46</t>
  </si>
  <si>
    <t>Q11.47</t>
  </si>
  <si>
    <t>Q11.48</t>
  </si>
  <si>
    <t>Q11.49</t>
  </si>
  <si>
    <t>Q11.49_8_TEXT</t>
  </si>
  <si>
    <t>Q11.50</t>
  </si>
  <si>
    <t>Q11.51</t>
  </si>
  <si>
    <t>Q11.52</t>
  </si>
  <si>
    <t>Q11.53</t>
  </si>
  <si>
    <t>Q11.53_8_TEXT</t>
  </si>
  <si>
    <t>Q11.54</t>
  </si>
  <si>
    <t>Q11.55</t>
  </si>
  <si>
    <t>Q11.56</t>
  </si>
  <si>
    <t>Q11.57</t>
  </si>
  <si>
    <t>Q11.57_8_TEXT</t>
  </si>
  <si>
    <t>Q11.58</t>
  </si>
  <si>
    <t>Q11.59</t>
  </si>
  <si>
    <t>Q11.60</t>
  </si>
  <si>
    <t>Q11.61</t>
  </si>
  <si>
    <t>Q11.62</t>
  </si>
  <si>
    <t>Q11.63</t>
  </si>
  <si>
    <t>Q11.64</t>
  </si>
  <si>
    <t>Q11.64_8_TEXT</t>
  </si>
  <si>
    <t>Q11.65</t>
  </si>
  <si>
    <t>Q11.66</t>
  </si>
  <si>
    <t>Q11.67</t>
  </si>
  <si>
    <t>Q11.68</t>
  </si>
  <si>
    <t>Q11.68_8_TEXT</t>
  </si>
  <si>
    <t>Q11.69</t>
  </si>
  <si>
    <t>Q11.70</t>
  </si>
  <si>
    <t>Q11.70_3_TEXT</t>
  </si>
  <si>
    <t>Q11.71</t>
  </si>
  <si>
    <t>Q11.71_4_TEXT</t>
  </si>
  <si>
    <t>Q11.72</t>
  </si>
  <si>
    <t>Q11.73</t>
  </si>
  <si>
    <t>Q11.74</t>
  </si>
  <si>
    <t>Q11.74_8_TEXT</t>
  </si>
  <si>
    <t>Q11.75</t>
  </si>
  <si>
    <t>Q11.76</t>
  </si>
  <si>
    <t>Q11.77</t>
  </si>
  <si>
    <t>Q11.78</t>
  </si>
  <si>
    <t>Q11.78_8_TEXT</t>
  </si>
  <si>
    <t>Q11.79</t>
  </si>
  <si>
    <t>Q11.80</t>
  </si>
  <si>
    <t>Q11.81</t>
  </si>
  <si>
    <t>Q11.82</t>
  </si>
  <si>
    <t>Q11.82_8_TEXT</t>
  </si>
  <si>
    <t>Q11.83</t>
  </si>
  <si>
    <t>Q11.84</t>
  </si>
  <si>
    <t>Q11.85</t>
  </si>
  <si>
    <t>Q11.86</t>
  </si>
  <si>
    <t>Q11.86_8_TEXT</t>
  </si>
  <si>
    <t>Q11.87</t>
  </si>
  <si>
    <t>Q11.88</t>
  </si>
  <si>
    <t>Q11.89</t>
  </si>
  <si>
    <t>Q11.90</t>
  </si>
  <si>
    <t>Q11.90_8_TEXT</t>
  </si>
  <si>
    <t>Q11.91</t>
  </si>
  <si>
    <t>Q11.92</t>
  </si>
  <si>
    <t>Q11.93</t>
  </si>
  <si>
    <t>Q11.94</t>
  </si>
  <si>
    <t>Q11.94_8_TEXT</t>
  </si>
  <si>
    <t>Q11.95</t>
  </si>
  <si>
    <t>Q11.96</t>
  </si>
  <si>
    <t>Q11.98</t>
  </si>
  <si>
    <t>Q11.99</t>
  </si>
  <si>
    <t>Q11.100</t>
  </si>
  <si>
    <t>Q12.2</t>
  </si>
  <si>
    <t>Q12.2_6_TEXT</t>
  </si>
  <si>
    <t>Q12.3</t>
  </si>
  <si>
    <t>Q12.4</t>
  </si>
  <si>
    <t>Q12.5_1</t>
  </si>
  <si>
    <t>Q12.5_2</t>
  </si>
  <si>
    <t>Q12.5_3</t>
  </si>
  <si>
    <t>Q12.5_4</t>
  </si>
  <si>
    <t>Q12.5_5</t>
  </si>
  <si>
    <t>Q12.6</t>
  </si>
  <si>
    <t>Q12.7</t>
  </si>
  <si>
    <t>Q12.8</t>
  </si>
  <si>
    <t>Q12.8_9_TEXT</t>
  </si>
  <si>
    <t>Q12.9</t>
  </si>
  <si>
    <t>Q12.10</t>
  </si>
  <si>
    <t>Q12.12</t>
  </si>
  <si>
    <t>Q12.12_8_TEXT</t>
  </si>
  <si>
    <t>Q12.13</t>
  </si>
  <si>
    <t>Q12.13_5_TEXT</t>
  </si>
  <si>
    <t>Q12.14</t>
  </si>
  <si>
    <t>Q12.14_6_TEXT</t>
  </si>
  <si>
    <t>Q12.15</t>
  </si>
  <si>
    <t>Q12.16</t>
  </si>
  <si>
    <t>Q12.17</t>
  </si>
  <si>
    <t>Q12.18</t>
  </si>
  <si>
    <t>Q12.18_6_TEXT</t>
  </si>
  <si>
    <t>Q12.19</t>
  </si>
  <si>
    <t>Q12.19_6_TEXT</t>
  </si>
  <si>
    <t>Q12.21</t>
  </si>
  <si>
    <t>Q12.21_9_TEXT</t>
  </si>
  <si>
    <t>Q12.22_1</t>
  </si>
  <si>
    <t>Q12.22_2</t>
  </si>
  <si>
    <t>Q12.22_3</t>
  </si>
  <si>
    <t>Q12.22_4</t>
  </si>
  <si>
    <t>Q12.22_5</t>
  </si>
  <si>
    <t>Q12.22_6</t>
  </si>
  <si>
    <t>Q12.23</t>
  </si>
  <si>
    <t>Q12.23_7_TEXT</t>
  </si>
  <si>
    <t>Q12.24</t>
  </si>
  <si>
    <t>Q12.24_10_TEXT</t>
  </si>
  <si>
    <t>Q12.26</t>
  </si>
  <si>
    <t>Q12.26_4_TEXT</t>
  </si>
  <si>
    <t>Q12.27_1</t>
  </si>
  <si>
    <t>Q12.27_2</t>
  </si>
  <si>
    <t>Q12.27_3</t>
  </si>
  <si>
    <t>Q12.28_1</t>
  </si>
  <si>
    <t>Q12.28_2</t>
  </si>
  <si>
    <t>Q12.28_3</t>
  </si>
  <si>
    <t>Q12.29_1</t>
  </si>
  <si>
    <t>Q12.29_2</t>
  </si>
  <si>
    <t>Q12.29_3</t>
  </si>
  <si>
    <t>Q12.29_4</t>
  </si>
  <si>
    <t>Q12.29_5</t>
  </si>
  <si>
    <t>Q12.29_6</t>
  </si>
  <si>
    <t>Q12.29_7</t>
  </si>
  <si>
    <t>Q12.29_8</t>
  </si>
  <si>
    <t>Q12.29_8_TEXT</t>
  </si>
  <si>
    <t>Q12.30_1</t>
  </si>
  <si>
    <t>Q12.30_2</t>
  </si>
  <si>
    <t>Q12.30_3</t>
  </si>
  <si>
    <t>Q12.30_4</t>
  </si>
  <si>
    <t>Q12.30_5</t>
  </si>
  <si>
    <t>Q12.30_6</t>
  </si>
  <si>
    <t>Q12.31</t>
  </si>
  <si>
    <t>Q12.33</t>
  </si>
  <si>
    <t>Q12.34</t>
  </si>
  <si>
    <t>Q12.35</t>
  </si>
  <si>
    <t>Q12.36</t>
  </si>
  <si>
    <t>Q12.38_1</t>
  </si>
  <si>
    <t>Q12.38_2</t>
  </si>
  <si>
    <t>Q12.38_3</t>
  </si>
  <si>
    <t>Q12.38_4</t>
  </si>
  <si>
    <t>Q12.38_5</t>
  </si>
  <si>
    <t>Q12.38_6</t>
  </si>
  <si>
    <t>Q12.39</t>
  </si>
  <si>
    <t>Q12.40</t>
  </si>
  <si>
    <t>Q12.40_5_TEXT</t>
  </si>
  <si>
    <t>Q12.41</t>
  </si>
  <si>
    <t>Q12.41_5_TEXT</t>
  </si>
  <si>
    <t>Q12.42</t>
  </si>
  <si>
    <t>Q12.42_4_TEXT</t>
  </si>
  <si>
    <t>Q12.43</t>
  </si>
  <si>
    <t>Q12.45</t>
  </si>
  <si>
    <t>Q12.46</t>
  </si>
  <si>
    <t>Q12.46_8_TEXT</t>
  </si>
  <si>
    <t>Q12.48</t>
  </si>
  <si>
    <t>Q12.48_5_TEXT</t>
  </si>
  <si>
    <t>Q12.49</t>
  </si>
  <si>
    <t>Q12.49_7_TEXT</t>
  </si>
  <si>
    <t>Q12.50</t>
  </si>
  <si>
    <t>Q12.50_4_TEXT</t>
  </si>
  <si>
    <t>Q12.52</t>
  </si>
  <si>
    <t>Q12.53</t>
  </si>
  <si>
    <t>Q12.54</t>
  </si>
  <si>
    <t>Q12.54_6_TEXT</t>
  </si>
  <si>
    <t>Q12.56</t>
  </si>
  <si>
    <t>Q12.57</t>
  </si>
  <si>
    <t>Q12.57_6_TEXT</t>
  </si>
  <si>
    <t>Q12.58</t>
  </si>
  <si>
    <t>Q12.60</t>
  </si>
  <si>
    <t>Q12.61</t>
  </si>
  <si>
    <t>Q12.61_6_TEXT</t>
  </si>
  <si>
    <t>Q12.62</t>
  </si>
  <si>
    <t>Q12.63</t>
  </si>
  <si>
    <t>Q12.63_4_TEXT</t>
  </si>
  <si>
    <t>Q12.65</t>
  </si>
  <si>
    <t>Q12.65_6_TEXT</t>
  </si>
  <si>
    <t>Q12.66</t>
  </si>
  <si>
    <t>Q12.66_5_TEXT</t>
  </si>
  <si>
    <t>Q12.68</t>
  </si>
  <si>
    <t>Q12.69</t>
  </si>
  <si>
    <t>Private Medical Insurance</t>
  </si>
  <si>
    <t>Dental &amp; Vision</t>
  </si>
  <si>
    <t>Life, Accident, Critical Illness</t>
  </si>
  <si>
    <t>Short &amp; Long Term Disability</t>
  </si>
  <si>
    <t>Retirement</t>
  </si>
  <si>
    <t>Wellness</t>
  </si>
  <si>
    <t>EAP</t>
  </si>
  <si>
    <t>Leaves</t>
  </si>
  <si>
    <t>Voluntary Benefits</t>
  </si>
  <si>
    <t>Transportation Policy</t>
  </si>
  <si>
    <t>gl28987d</t>
  </si>
  <si>
    <t>fi42020p</t>
  </si>
  <si>
    <t>ly63065r</t>
  </si>
  <si>
    <t>cp25327m</t>
  </si>
  <si>
    <t>ok48535c</t>
  </si>
  <si>
    <t>we92374t</t>
  </si>
  <si>
    <t>nv16805h</t>
  </si>
  <si>
    <t>ss35364q</t>
  </si>
  <si>
    <t>wy91252b</t>
  </si>
  <si>
    <t>cq99052z</t>
  </si>
  <si>
    <t>qe22564s</t>
  </si>
  <si>
    <t>am97209l</t>
  </si>
  <si>
    <t>of90791i</t>
  </si>
  <si>
    <t>pe73560o</t>
  </si>
  <si>
    <t>pg67873o</t>
  </si>
  <si>
    <t>gy51059d</t>
  </si>
  <si>
    <t>br52072n</t>
  </si>
  <si>
    <t>gp27975s</t>
  </si>
  <si>
    <t>xv17911c</t>
  </si>
  <si>
    <t>at11035c</t>
  </si>
  <si>
    <t>ma49266p</t>
  </si>
  <si>
    <t>ia40155d</t>
  </si>
  <si>
    <t>ek84674r</t>
  </si>
  <si>
    <t>js98789f</t>
  </si>
  <si>
    <t>oh18869g</t>
  </si>
  <si>
    <t>gh67469j</t>
  </si>
  <si>
    <t>kz96094j</t>
  </si>
  <si>
    <t>kt81589x</t>
  </si>
  <si>
    <t>kj88119h</t>
  </si>
  <si>
    <t>vp55499b</t>
  </si>
  <si>
    <t>ir60080f</t>
  </si>
  <si>
    <t>to54818b</t>
  </si>
  <si>
    <t>xy67077d</t>
  </si>
  <si>
    <t>vk97082c</t>
  </si>
  <si>
    <t>os70795j</t>
  </si>
  <si>
    <t>wy37829j</t>
  </si>
  <si>
    <t>kx47850g</t>
  </si>
  <si>
    <t>hb51477t</t>
  </si>
  <si>
    <t>lc54507z</t>
  </si>
  <si>
    <t>vn48239m</t>
  </si>
  <si>
    <t>uk65285q</t>
  </si>
  <si>
    <t>ps91862e</t>
  </si>
  <si>
    <t>zh49032g</t>
  </si>
  <si>
    <t>ur37964y</t>
  </si>
  <si>
    <t>tw67688g</t>
  </si>
  <si>
    <t>iu21854x</t>
  </si>
  <si>
    <t>sm31238r</t>
  </si>
  <si>
    <t>qr51679l</t>
  </si>
  <si>
    <t>dg91655s</t>
  </si>
  <si>
    <t>vy55597c</t>
  </si>
  <si>
    <t>jt33847e</t>
  </si>
  <si>
    <t>sc31132y</t>
  </si>
  <si>
    <t>lt35077r</t>
  </si>
  <si>
    <t>uh55208r</t>
  </si>
  <si>
    <t>su72499w</t>
  </si>
  <si>
    <t>ne18132c</t>
  </si>
  <si>
    <t>tz60002q</t>
  </si>
  <si>
    <t>Identifier</t>
  </si>
  <si>
    <t>Back to Index</t>
  </si>
  <si>
    <t>None</t>
  </si>
  <si>
    <t>N/A</t>
  </si>
  <si>
    <t>Yes</t>
  </si>
  <si>
    <t>Self-insured</t>
  </si>
  <si>
    <t>One medical plan</t>
  </si>
  <si>
    <t>Employee and eligible dependents</t>
  </si>
  <si>
    <t>No</t>
  </si>
  <si>
    <t>All employees</t>
  </si>
  <si>
    <t>Spouse,Domestic partner,Children (no limit)</t>
  </si>
  <si>
    <t>18 years</t>
  </si>
  <si>
    <t>Ambulance,Annual check-ups or exams (all employees),Day care (outpatient) treatment,Specialist doctor visits,Hospital,ICU,Lab work,Outpatient medical services,Surgical,X-Rays,Inpatient mental health services,Outpatient mental health services</t>
  </si>
  <si>
    <t>We already had everything in place with our PMI</t>
  </si>
  <si>
    <t>Company pays full cost</t>
  </si>
  <si>
    <t>Employee pays full cost</t>
  </si>
  <si>
    <t>All hospitals (government and private)</t>
  </si>
  <si>
    <t>Private room accommodation</t>
  </si>
  <si>
    <t>Unlimited</t>
  </si>
  <si>
    <t>BUPA</t>
  </si>
  <si>
    <t>Different levels</t>
  </si>
  <si>
    <t>Flex Plan - Different coverage levels</t>
  </si>
  <si>
    <t>Other, please specify</t>
  </si>
  <si>
    <t>general access</t>
  </si>
  <si>
    <t>working from home support</t>
  </si>
  <si>
    <t>Company and employee share cost</t>
  </si>
  <si>
    <t>Other</t>
  </si>
  <si>
    <t>Flex allocation</t>
  </si>
  <si>
    <t>annual maximum excludes Critical Care</t>
  </si>
  <si>
    <t>WPA Protocol Plc</t>
  </si>
  <si>
    <t>Ambulance,Day care (outpatient) treatment,Primary care doctor visits,Specialist doctor visits,Telemedicine,Hospital,Outpatient medical services,Prescription drugs,Surgical,Inpatient mental health services,Outpatient mental health services</t>
  </si>
  <si>
    <t>The PMI Provider enabled the members to utilize certain services from their homes.</t>
  </si>
  <si>
    <t>We have increased the promotion of the services and in particular the 'from home' services and the digital GP and started to distribute the wellbeing related materials which the PMI vendor started to produce during COVID-19</t>
  </si>
  <si>
    <t>Open referral</t>
  </si>
  <si>
    <t>depends on the hospital</t>
  </si>
  <si>
    <t>Carrier insured</t>
  </si>
  <si>
    <t>Spouse,Children (no limit)</t>
  </si>
  <si>
    <t>25 years</t>
  </si>
  <si>
    <t>Vaccination cover</t>
  </si>
  <si>
    <t>Government and private hospital (high-end excluded)</t>
  </si>
  <si>
    <t>Aviva</t>
  </si>
  <si>
    <t>Dependents premiums are 50% funded, although this will change to 100% in October 21.</t>
  </si>
  <si>
    <t>24 years</t>
  </si>
  <si>
    <t>Acupuncture,Ambulance,Day care (outpatient) treatment,Dental services,Specialist doctor visits,Telemedicine,Hospital,Lab work,Outpatient medical services,Pre hospitalization expenses,Surgical,Vision care,X-Rays,Inpatient mental health services,Outpatient mental health services</t>
  </si>
  <si>
    <t>N/A
Telemedicine is offered but was not introduced specifically as a result of Covid-19.</t>
  </si>
  <si>
    <t>Baby Bonus £100 following 10 months coverage.
Pregnancy and birth complications are covered.</t>
  </si>
  <si>
    <t>Employee,Spouse,Domestic partner</t>
  </si>
  <si>
    <t>Spouse,Domestic partner,Child (only one),Children (no limit)</t>
  </si>
  <si>
    <t>Assisted Fertility Treatment, transgender support</t>
  </si>
  <si>
    <t>Pre and post natal screening and support</t>
  </si>
  <si>
    <t>Full</t>
  </si>
  <si>
    <t>21 years</t>
  </si>
  <si>
    <t>Annual check-ups or exams (executives or managers only),Day care (outpatient) treatment,Specialist doctor visits,Telemedicine,Hospital,Outpatient medical services,Surgical,X-Rays,Inpatient mental health services,Outpatient mental health services</t>
  </si>
  <si>
    <t>There is a directory of hospitals that we use.</t>
  </si>
  <si>
    <t>AXA</t>
  </si>
  <si>
    <t>Under consideration</t>
  </si>
  <si>
    <t>Ambulance,Specialist doctor visits,Hospital,Vision care</t>
  </si>
  <si>
    <t>n/a</t>
  </si>
  <si>
    <t>TBC</t>
  </si>
  <si>
    <t>Employee only</t>
  </si>
  <si>
    <t>Acupuncture,Ambulance,Day care (outpatient) treatment,Primary care doctor visits,Specialist doctor visits,Telemedicine,Hospital,ICU,Lab work,Outpatient medical services,Post hospitalization expenses,Surgical,X-Rays,Inpatient mental health services,Outpatient mental health services</t>
  </si>
  <si>
    <t>None due to Covid-19</t>
  </si>
  <si>
    <t>All hospitals and clinics classified as "In-network" by our medical administrator (high-end included)</t>
  </si>
  <si>
    <t>Ambulance,Day care (outpatient) treatment,Dental services,Primary care doctor visits,Specialist doctor visits,Telemedicine,Hospital,Lab work,Outpatient medical services,Surgical,Vision care,Inpatient mental health services,Outpatient mental health services</t>
  </si>
  <si>
    <t>Flu vaccine expense, increased EAP sessions, work from home stipend, monthly work from home reimbursement</t>
  </si>
  <si>
    <t>Pre existing conditions are not covered</t>
  </si>
  <si>
    <t>Semi private room accommodation</t>
  </si>
  <si>
    <t>Buppa</t>
  </si>
  <si>
    <t>Executives,Managers</t>
  </si>
  <si>
    <t>Ambulance,Day care (outpatient) treatment,Dental services,Specialist doctor visits,Telemedicine,Hospital,Lab work,Outpatient medical services,Surgical,Vision care,X-Rays,Inpatient mental health services,Outpatient mental health services</t>
  </si>
  <si>
    <t>24 Months</t>
  </si>
  <si>
    <t>No limit</t>
  </si>
  <si>
    <t>Flat amount</t>
  </si>
  <si>
    <t>Health Shield</t>
  </si>
  <si>
    <t>Same plan but Dental and Vision included</t>
  </si>
  <si>
    <t>fully Insured</t>
  </si>
  <si>
    <t>Full cover</t>
  </si>
  <si>
    <t>Vitality</t>
  </si>
  <si>
    <t>Nothing specific to UK benefits, telemedicine was already in place</t>
  </si>
  <si>
    <t>BUPA's network</t>
  </si>
  <si>
    <t>Company covers employee only anything above the employee funds</t>
  </si>
  <si>
    <t>Ambulance,Day care (outpatient) treatment,Hospital,ICU,Outpatient medical services,X-Rays,Inpatient mental health services,Outpatient mental health services,Other</t>
  </si>
  <si>
    <t>Rapid access to early detection services cancer</t>
  </si>
  <si>
    <t>Online doctor with the medical plan</t>
  </si>
  <si>
    <t>Full refund</t>
  </si>
  <si>
    <t>none</t>
  </si>
  <si>
    <t>Acupuncture,Day care (outpatient) treatment,Telemedicine,Hospital,ICU,Lab work,Outpatient medical services,Surgical,Vision care,X-Rays,Inpatient mental health services,Outpatient mental health services</t>
  </si>
  <si>
    <t>BUPA's agreed network of private and NHS hospitals</t>
  </si>
  <si>
    <t>reimbursement is in full for all elligible and authorized treatment not available due to commercial sensitivity agreement with hospital providers</t>
  </si>
  <si>
    <t>full refund</t>
  </si>
  <si>
    <t>Ambulance,Annual check-ups or exams (all employees),Annual check-ups or exams (executives or managers only),Day care (outpatient) treatment,Dental services,Primary care doctor visits,Specialist doctor visits,Hospital,ICU,Lab work,Maternity,Outpatient medical services,Post hospitalization expenses,Pre hospitalization expenses,Prescription drugs,Surgical,Vaccination shots,Vision care,X-Rays,Inpatient mental health services,Outpatient mental health services</t>
  </si>
  <si>
    <t>no yearly limit</t>
  </si>
  <si>
    <t>Day care (outpatient) treatment,Telemedicine,Hospital,ICU,Outpatient medical services,Surgical,Inpatient mental health services,Outpatient mental health services</t>
  </si>
  <si>
    <t>Private only</t>
  </si>
  <si>
    <t>Acupuncture,Ambulance,Day care (outpatient) treatment,Specialist doctor visits,Telemedicine,Hospital,ICU,Lab work,Outpatient medical services,Surgical,X-Rays,Inpatient mental health services,Outpatient mental health services</t>
  </si>
  <si>
    <t>Acupuncture,Ambulance,Annual check-ups or exams (all employees),Day care (outpatient) treatment,Dental services,Primary care doctor visits,Specialist doctor visits,Telemedicine,Hospital,ICU,Lab work,Outpatient medical services,Surgical,X-Rays,Inpatient mental health services,Outpatient mental health services</t>
  </si>
  <si>
    <t>wellness support</t>
  </si>
  <si>
    <t>Full refund for Hospital charges, surgical appliance, ambulance etc but refunded up to limits for specialist physician fees, surgeons and anesthetists fees</t>
  </si>
  <si>
    <t>Cigna</t>
  </si>
  <si>
    <t>Participating network</t>
  </si>
  <si>
    <t>Both the above</t>
  </si>
  <si>
    <t>Medicash</t>
  </si>
  <si>
    <t>Ambulance,Annual check-ups or exams (all employees),Day care (outpatient) treatment,Dental services,Telemedicine,Hospital,Maternity,Outpatient medical services,Surgical,Vision care,X-Rays,Inpatient mental health services,Outpatient mental health services</t>
  </si>
  <si>
    <t>Specialists advising on non-COVID-19 medical conditions,Mental health specialists</t>
  </si>
  <si>
    <t>full cover</t>
  </si>
  <si>
    <t>no limit</t>
  </si>
  <si>
    <t>Spouse,Domestic partner,Children (no limit),Other, please specify</t>
  </si>
  <si>
    <t>Step children if living in same household as the employee</t>
  </si>
  <si>
    <t>Directory of Hospitals available</t>
  </si>
  <si>
    <t>This depends on the specific treatment. It varies from no yearly limit on practitioners but for therapist the limit is 10 sessions per year</t>
  </si>
  <si>
    <t>Vaccination cover,Other, please specify</t>
  </si>
  <si>
    <t>Dental, Optical</t>
  </si>
  <si>
    <t>complication only</t>
  </si>
  <si>
    <t>full covered</t>
  </si>
  <si>
    <t>Hospitalization cover</t>
  </si>
  <si>
    <t>None from a health insurance point of view</t>
  </si>
  <si>
    <t>Paid in full</t>
  </si>
  <si>
    <t>Varies on type of treatment</t>
  </si>
  <si>
    <t>Including same sex-partners</t>
  </si>
  <si>
    <t>Still under consideration</t>
  </si>
  <si>
    <t>Bupa Network</t>
  </si>
  <si>
    <t>No additional cover due Covid</t>
  </si>
  <si>
    <t>Acupuncture,Ambulance,Day care (outpatient) treatment,Specialist doctor visits,Telemedicine,Hospital,Lab work,Outpatient medical services,Surgical,Vision care,X-Rays,Inpatient mental health services,Outpatient mental health services</t>
  </si>
  <si>
    <t>No additional items.</t>
  </si>
  <si>
    <t>It doesnt mention the type of accomodation.</t>
  </si>
  <si>
    <t>Day care (outpatient) treatment,Hospital,ICU,Surgical,X-Rays</t>
  </si>
  <si>
    <t>Acupuncture,Ambulance,Day care (outpatient) treatment,Primary care doctor visits,Specialist doctor visits,Hospital,ICU,Lab work,Outpatient medical services,Prescription drugs,Surgical,Vision care,X-Rays,Inpatient mental health services,Outpatient mental health services</t>
  </si>
  <si>
    <t>pre-existing conditions not covered</t>
  </si>
  <si>
    <t>Participating Facility</t>
  </si>
  <si>
    <t>ICU, Gen Ward, Parental accommodation</t>
  </si>
  <si>
    <t>Maternity coverage is for emergency only - routine maternity not covered.</t>
  </si>
  <si>
    <t>Nothing to our PMI plan, it was pretty comprehensive already.</t>
  </si>
  <si>
    <t>costs covered in full subject to eligibility</t>
  </si>
  <si>
    <t>Typically reimbursed in full</t>
  </si>
  <si>
    <t>Up to 10 outpatient sessions for physio / osteo / chiro etc. No max for mental health under Stronger Minds programme</t>
  </si>
  <si>
    <t>Ambulance,Day care (outpatient) treatment,Dental services,Specialist doctor visits,Telemedicine,Hospital,Outpatient medical services,Post hospitalization expenses,Prescription drugs,Surgical,Vision care,X-Rays,Inpatient mental health services,Outpatient mental health services</t>
  </si>
  <si>
    <t>NA</t>
  </si>
  <si>
    <t>Acupuncture,Ambulance,Day care (outpatient) treatment,Primary care doctor visits,Specialist doctor visits,Telemedicine,Hospital,ICU,Outpatient medical services,Post hospitalization expenses,Pre hospitalization expenses,Prescription drugs,Surgical,X-Rays,Inpatient mental health services,Outpatient mental health services</t>
  </si>
  <si>
    <t>Specialists advising on COVID-19,Specialists advising on non-COVID-19 medical conditions</t>
  </si>
  <si>
    <t>Hospitalization cover,Outpatient cover,Prescription drug cover</t>
  </si>
  <si>
    <t>Additional mental health support</t>
  </si>
  <si>
    <t>full</t>
  </si>
  <si>
    <t>Remote cardiac pathway – virtual appointments and home test kits for Cardiac issues, Webchat, Online treatment request forms, Bupa pay NHS cash benefit for overnight stay related specifically for COVID (changed for insured contracts in 2020), Bupa from home – we created a simple suite of pathways and services for members in one place, Launched ‘get treatment’ hub in February 2021 with resources for MSK, cancer and Mental health, Chemotherapy at home, Bupa also launched iCBT (online) in 2020 as an alternative treatment to seeing a therapist</t>
  </si>
  <si>
    <t>Primary care benefit – to be launched sometime in 2022 we will have a new additional option for PMI customer to have the ability to diagnose, detect and investigate health issues in a primary care setting (private GP etc). This is due the emerging demand for private GP services during the pandemic and will be an additional cost/loading.
Bupa Touch: Virtual Health Centre will be launching in Q4 2021 on our new app and will direct members to the correct pathway and team within Bupa based on their symptoms.  This enhancement to the digital journey has been accelerated due to the increase utilisation of digital healthcare during the pandemic.</t>
  </si>
  <si>
    <t>Subject to hospital availability</t>
  </si>
  <si>
    <t>Cancer cover</t>
  </si>
  <si>
    <t>Hopsital Partnership Network</t>
  </si>
  <si>
    <t>no change</t>
  </si>
  <si>
    <t>paid in full</t>
  </si>
  <si>
    <t>Trust</t>
  </si>
  <si>
    <t>Network hospitals</t>
  </si>
  <si>
    <t>Carrier Re-Insured to Captive</t>
  </si>
  <si>
    <t>Ambulance,Day care (outpatient) treatment,Primary care doctor visits,Specialist doctor visits,Telemedicine,Hospital,ICU,Lab work,Maternity,Outpatient medical services,Post hospitalization expenses,Pre hospitalization expenses,Prescription drugs,Surgical,Vaccination shots,Vision care,X-Rays,Inpatient mental health services,Outpatient mental health services</t>
  </si>
  <si>
    <t>Cover provided by NHS</t>
  </si>
  <si>
    <t>Insurer Participating Hospitals</t>
  </si>
  <si>
    <t>100% refund within network; 350 pounds outside network</t>
  </si>
  <si>
    <t>Full reimbursement</t>
  </si>
  <si>
    <t>FUll reimbursement</t>
  </si>
  <si>
    <t>Acupuncture,Day care (outpatient) treatment,Telemedicine,Outpatient medical services,Post hospitalization expenses,Pre hospitalization expenses,Surgical,X-Rays,Inpatient mental health services</t>
  </si>
  <si>
    <t>Biennial check-ups/exams</t>
  </si>
  <si>
    <t>Long-COVID care and treatment program</t>
  </si>
  <si>
    <t>Employees can choose to enroll in private maternity care, 25% co-pay up to a cash limit, higher premiums apply &amp; there is a 10 month moratorium</t>
  </si>
  <si>
    <t>Best available</t>
  </si>
  <si>
    <t>key hospital list</t>
  </si>
  <si>
    <t>21 or 23 if in full time education</t>
  </si>
  <si>
    <t>Day care (outpatient) treatment,Dental services,Telemedicine,Hospital,ICU,Lab work,Outpatient medical services,Post hospitalization expenses,Pre hospitalization expenses,Surgical,X-Rays,Inpatient mental health services,Outpatient mental health services</t>
  </si>
  <si>
    <t>Acupuncture,Ambulance,Day care (outpatient) treatment,Dental services,Specialist doctor visits,Telemedicine,Hospital,Outpatient medical services,Surgical,Vision care,X-Rays,Inpatient mental health services,Outpatient mental health services</t>
  </si>
  <si>
    <t>fully insured</t>
  </si>
  <si>
    <t>Executives,Managers,Non-executives or non-managers,Sales,Factory</t>
  </si>
  <si>
    <t>Telemedicine was already in place prior to covid</t>
  </si>
  <si>
    <t>All hospitals covered in policy directory</t>
  </si>
  <si>
    <t>Medex</t>
  </si>
  <si>
    <t>Acupuncture,Ambulance,Day care (outpatient) treatment,Dental services,Specialist doctor visits,Telemedicine,Hospital,ICU,Maternity,Outpatient medical services,Post hospitalization expenses,Pre hospitalization expenses,Surgical,Vision care,X-Rays,Inpatient mental health services,Outpatient mental health services,Other</t>
  </si>
  <si>
    <t>We're still reviewing for the renewals, but plan was already robust and already had telehealth</t>
  </si>
  <si>
    <t>We're still reviewing for the renewals, but the plan was already robust and already had telehealth</t>
  </si>
  <si>
    <t>Employee</t>
  </si>
  <si>
    <t>600 Pounds, eligible caesarean is okay, and the follow up is okay and the check ups are. There are limits in place.</t>
  </si>
  <si>
    <t>Percentage</t>
  </si>
  <si>
    <t>mainly private and some NHS</t>
  </si>
  <si>
    <t>not specified depends on what is offered. Private hospitals are usually not on shared wards</t>
  </si>
  <si>
    <t>Direct mental health, direct cancer care etc etc</t>
  </si>
  <si>
    <t>no changes made due to Covid</t>
  </si>
  <si>
    <t>Selected Bupa Partnership Hospitals</t>
  </si>
  <si>
    <t>full reimnbursment</t>
  </si>
  <si>
    <t>No enhancements to the medical benefit - we already had tele-medicine</t>
  </si>
  <si>
    <t>Not specified</t>
  </si>
  <si>
    <t>100% - except there is a limit of £500 a year on drugs and dressings</t>
  </si>
  <si>
    <t>AXA for excess no cover for shortfall insurance</t>
  </si>
  <si>
    <t>Voluntary</t>
  </si>
  <si>
    <t>Self-Insured</t>
  </si>
  <si>
    <t>VDU coverage only</t>
  </si>
  <si>
    <t>Exam,Basic lenses,Frames</t>
  </si>
  <si>
    <t>Excess amount over a flat company contribution</t>
  </si>
  <si>
    <t>Edenred</t>
  </si>
  <si>
    <t>Flex</t>
  </si>
  <si>
    <t>SimplyHealth</t>
  </si>
  <si>
    <t>Enhanced vision benefit</t>
  </si>
  <si>
    <t>Smart Employee Eyecare (See)</t>
  </si>
  <si>
    <t>Stand alone policy</t>
  </si>
  <si>
    <t>Depends on the level of cover selected</t>
  </si>
  <si>
    <t>Unum</t>
  </si>
  <si>
    <t>Free eye VDU test vouchers every 2 years. £45 towards glasses if they are required for VDU use.</t>
  </si>
  <si>
    <t>Video consultation and remote telephone appointments offering with dentists</t>
  </si>
  <si>
    <t>VSP</t>
  </si>
  <si>
    <t>Exam,Basic lenses,Contacts</t>
  </si>
  <si>
    <t>VSP Vision Care</t>
  </si>
  <si>
    <t>Depends on level of cover</t>
  </si>
  <si>
    <t>Basic lenses,Frames</t>
  </si>
  <si>
    <t>Self Insured</t>
  </si>
  <si>
    <t>Child orthodontics (up to a max of £325, £400 or £550, depending on plan), Dentures</t>
  </si>
  <si>
    <t>One free eye test and £45 voucher every two years. Voucher can be used for purchase of a pair of eyeglasses.</t>
  </si>
  <si>
    <t>Specsavers Opticians</t>
  </si>
  <si>
    <t>Exam,Basic lenses,Frames,Contacts</t>
  </si>
  <si>
    <t>Axa</t>
  </si>
  <si>
    <t>Denplan</t>
  </si>
  <si>
    <t>Rider to some other policy</t>
  </si>
  <si>
    <t>AXA PPP PMI</t>
  </si>
  <si>
    <t>Fully Insured</t>
  </si>
  <si>
    <t>No specific vendor</t>
  </si>
  <si>
    <t>eyecare vouchers</t>
  </si>
  <si>
    <t>Exam</t>
  </si>
  <si>
    <t>SpecSavers</t>
  </si>
  <si>
    <t>Depends on the level of coverage chosen</t>
  </si>
  <si>
    <t>Mandatory</t>
  </si>
  <si>
    <t>medical insurance</t>
  </si>
  <si>
    <t>Company doctor or clinic</t>
  </si>
  <si>
    <t>denplan</t>
  </si>
  <si>
    <t>Exam,Other, please specify</t>
  </si>
  <si>
    <t>cash benefit towards frames or lenses</t>
  </si>
  <si>
    <t>AXA PPP</t>
  </si>
  <si>
    <t>boots</t>
  </si>
  <si>
    <t>Optical cash benefit for optical services incurred for eye tests and the purchase of eye glass frames with prescription lenses,up to an annual limit</t>
  </si>
  <si>
    <t>75% paid up to £100 per year of insurance.</t>
  </si>
  <si>
    <t>Bupa and Medicash</t>
  </si>
  <si>
    <t>Accidental dental injury cash benefit</t>
  </si>
  <si>
    <t>Optical cash benefit</t>
  </si>
  <si>
    <t>BUPA and Medicash</t>
  </si>
  <si>
    <t>Exam,Basic lenses</t>
  </si>
  <si>
    <t>Simply Health</t>
  </si>
  <si>
    <t>ASE Corporate EyeCare</t>
  </si>
  <si>
    <t>Dependents can be added to the plan at a cost to the employee</t>
  </si>
  <si>
    <t>dependants covered at employees own cost</t>
  </si>
  <si>
    <t>PMI</t>
  </si>
  <si>
    <t>dental plan</t>
  </si>
  <si>
    <t>cash benefit</t>
  </si>
  <si>
    <t>Reimbursement Scheme</t>
  </si>
  <si>
    <t>In house reimbursement of up to £160</t>
  </si>
  <si>
    <t>Anaesthetist, Orthodontic cover</t>
  </si>
  <si>
    <t>Annual Eye care test plus VDU coverage</t>
  </si>
  <si>
    <t>Eyecare vouchers through Edenred</t>
  </si>
  <si>
    <t>Flexible structure with treatments arranged in categories/pots.</t>
  </si>
  <si>
    <t>VDU coverage plus additional amount via medical cover to claim for  lenses</t>
  </si>
  <si>
    <t>No vendor, made via reimbursement</t>
  </si>
  <si>
    <t>SEE</t>
  </si>
  <si>
    <t>Amalgam filling,Root canal -  molar,Extraction – single tooth, exposed root or erupted,Extraction – complete bony,Crown – porcelain with metal</t>
  </si>
  <si>
    <t>Not insured</t>
  </si>
  <si>
    <t>Depends on level of cover employee selected</t>
  </si>
  <si>
    <t>Specsavers</t>
  </si>
  <si>
    <t>Child ortho</t>
  </si>
  <si>
    <t>in-house policy</t>
  </si>
  <si>
    <t>Employee choice</t>
  </si>
  <si>
    <t>70% covered</t>
  </si>
  <si>
    <t>Included in private medical insurance package</t>
  </si>
  <si>
    <t>BUPA cash benefit</t>
  </si>
  <si>
    <t>Any approved</t>
  </si>
  <si>
    <t>Oral Cancer treatment, Emergency dental treatment, Anaesthetist Fees, Cash benefit for hospital stay</t>
  </si>
  <si>
    <t>Virtual Appointments were made available and covered within the normal examination limits via Instant dentist
Free remote emergency appointments via Bupa dental centres – no impact on benefit limits
Bupa dental case support helpline – the team will now call around and source appointment for members at their local centres so support access treatment quickly
PPE charges – as part of the pandemic we allowed the PPE charges to be paid from within the existing benefit limits as an exception to reduce the chance of member shortfalls</t>
  </si>
  <si>
    <t>VDU Glasses</t>
  </si>
  <si>
    <t>Compnay pays for Level 1 - employees pay for any top up to higher level</t>
  </si>
  <si>
    <t>Healthshield</t>
  </si>
  <si>
    <t>Company pays for Level 1 - employee pays for top up to higher level</t>
  </si>
  <si>
    <t>Reimbursement</t>
  </si>
  <si>
    <t>Carrier Reinsured to Captive</t>
  </si>
  <si>
    <t>Spouse,Domestic partner,Children (no limit),Parents</t>
  </si>
  <si>
    <t>Oral Cancer</t>
  </si>
  <si>
    <t>Smart Employee Eyecare (SEE)</t>
  </si>
  <si>
    <t>Employee selects</t>
  </si>
  <si>
    <t>Lenses and frames up to £300 if used for VDU use only</t>
  </si>
  <si>
    <t>Employee can choose, employer will reimburse</t>
  </si>
  <si>
    <t>fully-insured</t>
  </si>
  <si>
    <t>Executives,Managers,Non-executives or non-managers  ,Sales,Factory</t>
  </si>
  <si>
    <t>reimbursement benefit only</t>
  </si>
  <si>
    <t>Dental Injury, Anaestetist fees, Oral Cancer, Cash benefit for hospital stay</t>
  </si>
  <si>
    <t>self-insured</t>
  </si>
  <si>
    <t>We have 2 plans. The plan for corporate is more extensive</t>
  </si>
  <si>
    <t>• 80% of the cost, up to £300 per annum • Paid towards prescribed glasses or contact lenses needed to correct vision and eye tests</t>
  </si>
  <si>
    <t>All employees but there are 2 plan levels</t>
  </si>
  <si>
    <t>vision allowance</t>
  </si>
  <si>
    <t>Basic lenses,Frames,Contacts</t>
  </si>
  <si>
    <t>vision reimbursement</t>
  </si>
  <si>
    <t>Spouse,Domestic partner</t>
  </si>
  <si>
    <t>Eden Red</t>
  </si>
  <si>
    <t>Base</t>
  </si>
  <si>
    <t>Multiple of earnings</t>
  </si>
  <si>
    <t>4X</t>
  </si>
  <si>
    <t>Legal &amp; General</t>
  </si>
  <si>
    <t>8x</t>
  </si>
  <si>
    <t>Personal accident only</t>
  </si>
  <si>
    <t>RSA</t>
  </si>
  <si>
    <t>Lump Sum increments of 25,000</t>
  </si>
  <si>
    <t>Canada Life</t>
  </si>
  <si>
    <t>Base,Commissions</t>
  </si>
  <si>
    <t>Core level is 4x, employees can flex up to 12x</t>
  </si>
  <si>
    <t>Company pays for the core level of 4x, while employees pay for any Flex up if they have chosen to flex up.</t>
  </si>
  <si>
    <t>Non-Occupational</t>
  </si>
  <si>
    <t>Lump sum</t>
  </si>
  <si>
    <t>Pen Underwriting</t>
  </si>
  <si>
    <t>Generali</t>
  </si>
  <si>
    <t>Accidental death and disability</t>
  </si>
  <si>
    <t>2X</t>
  </si>
  <si>
    <t>Chubb</t>
  </si>
  <si>
    <t>Base,Retirement contributions</t>
  </si>
  <si>
    <t>Fixed lump sum</t>
  </si>
  <si>
    <t>7X</t>
  </si>
  <si>
    <t>Zurich</t>
  </si>
  <si>
    <t>24 hour</t>
  </si>
  <si>
    <t>Percent of earnings</t>
  </si>
  <si>
    <t>Base,Other, please specify</t>
  </si>
  <si>
    <t>Annual Target Incentive Amount for employees on a Sales plan.</t>
  </si>
  <si>
    <t>Company pays for cover at 4 x salary. Via flexible benefits, employee can select higher cover (up to 12 x salary) and pay the difference in cost, or, employee can select lower cover down to min 2 x salary and the difference in cost is credited to their flex account.</t>
  </si>
  <si>
    <t>Personal Accident Insurance scheme. Voluntary, via Flex program. Cover can be selected in units of £25,000 up to max £500,000 (employee &amp; partner) and £250,000 (children)</t>
  </si>
  <si>
    <t>Cover can be selected in units of £25,000 up to max £500,000 (employee &amp; partner) and £250,000 (children)</t>
  </si>
  <si>
    <t>Critical Illness Insurance scheme. Voluntary, via Flex program. Cover can be selected from £10,000 up to max £500,000 (employee) and £150,000 (partner)</t>
  </si>
  <si>
    <t>Cover can be selected from £10,000 up to max £500,000 (employee) and £150,000 (partner)</t>
  </si>
  <si>
    <t>3X</t>
  </si>
  <si>
    <t>Accidental Disability, Dismemberment or Death</t>
  </si>
  <si>
    <t>Legal and General</t>
  </si>
  <si>
    <t>4 and 6</t>
  </si>
  <si>
    <t>Base,Bonus,Commissions</t>
  </si>
  <si>
    <t>You can change to 5 or 6 times benefit salary at your own cost.</t>
  </si>
  <si>
    <t>24 hour worldwide</t>
  </si>
  <si>
    <t>You can select cover in steps of £25,000 up to 5 x your base salary, rounded down to the nearest £25,000 and subject to a maximum cover level of £500,000.</t>
  </si>
  <si>
    <t>UNUM</t>
  </si>
  <si>
    <t>AIG</t>
  </si>
  <si>
    <t>Base,Bonus,Overtime,Commissions,Allowances</t>
  </si>
  <si>
    <t>AD&amp;D for business travel only - part of a global insurance policy with CHUBB.</t>
  </si>
  <si>
    <t>lumpsum</t>
  </si>
  <si>
    <t>Your salary is defined as basic annual salary plus actuals averaged over the last 36 months.</t>
  </si>
  <si>
    <t>Unum Limited</t>
  </si>
  <si>
    <t>Lump Sum Amounts Insured</t>
  </si>
  <si>
    <t>Lump Sum amounts (in multiples of 25K) insured</t>
  </si>
  <si>
    <t>Metlife</t>
  </si>
  <si>
    <t>MetLife</t>
  </si>
  <si>
    <t>6x</t>
  </si>
  <si>
    <t>Rider to a life insurance policy</t>
  </si>
  <si>
    <t>Accidental death only</t>
  </si>
  <si>
    <t>lump sum of employees choice</t>
  </si>
  <si>
    <t>employee choice in increments of 50k up to max 500k</t>
  </si>
  <si>
    <t>Accidental death and dismemberment</t>
  </si>
  <si>
    <t>A lump sum is provided based on the level of cover the employee chooses to select</t>
  </si>
  <si>
    <t>Base,Bonus,Overtime,Commissions,Allowances,Other, please specify</t>
  </si>
  <si>
    <t>Car allowances excluded</t>
  </si>
  <si>
    <t>Four times Total Cash Remuneration (base pay + actual bonus/commission paid in the previous calendar year)</t>
  </si>
  <si>
    <t>International Business Travel Accident Insurance</t>
  </si>
  <si>
    <t>5X</t>
  </si>
  <si>
    <t>70% of salary (base pay + actual bonus/commission payout) - ESA (employment support allowance) Definition of salary base pay + actual bonus/commission payouts (previous year).</t>
  </si>
  <si>
    <t>Defined amount</t>
  </si>
  <si>
    <t>Benefit can be purchased in 25,000 GBP increments</t>
  </si>
  <si>
    <t>Base,Bonus</t>
  </si>
  <si>
    <t>we have a fixed amount which we pay out</t>
  </si>
  <si>
    <t>Self insured</t>
  </si>
  <si>
    <t>self insured</t>
  </si>
  <si>
    <t>Other, Please specify</t>
  </si>
  <si>
    <t>Level 2 plan only base salary, level 1 plan there is one flat amount we pay out of 1.500.000 USD Gross</t>
  </si>
  <si>
    <t>level 1 plan is self insured, level 2 plan is Canada life</t>
  </si>
  <si>
    <t>Regular payment</t>
  </si>
  <si>
    <t>Long-term disability</t>
  </si>
  <si>
    <t>Own occupation</t>
  </si>
  <si>
    <t>Retirement age</t>
  </si>
  <si>
    <t>Flex- company pays the lowest plan choice &amp; 3 choices are offered above that</t>
  </si>
  <si>
    <t>Inclusive of the minimum legally required</t>
  </si>
  <si>
    <t>5 years</t>
  </si>
  <si>
    <t>Partial and permanent disability</t>
  </si>
  <si>
    <t>N/A - lump sum amount</t>
  </si>
  <si>
    <t>Any occupation</t>
  </si>
  <si>
    <t>Executives,Managers,Non-executives or non-managers,Sales</t>
  </si>
  <si>
    <t>Specified number of months</t>
  </si>
  <si>
    <t>non-insured, pay in addition to statutory provided</t>
  </si>
  <si>
    <t>self</t>
  </si>
  <si>
    <t>In addition to the minimum legally required</t>
  </si>
  <si>
    <t>Total and permanent disability</t>
  </si>
  <si>
    <t>75% of your benefit Salary</t>
  </si>
  <si>
    <t>Depends on diagnosis</t>
  </si>
  <si>
    <t>company paid</t>
  </si>
  <si>
    <t>Base,Bonus,Overtime,Commissions</t>
  </si>
  <si>
    <t>zurich</t>
  </si>
  <si>
    <t>Annual</t>
  </si>
  <si>
    <t>basic annual salary plus annual average fluctuating emoluments in the last 36 months. The benefit is calculated on this basis plus any applicable employee pension fund contributions.</t>
  </si>
  <si>
    <t>Company pay full salary minus statutory for 26 weeks</t>
  </si>
  <si>
    <t>Full salary minus statutory</t>
  </si>
  <si>
    <t>Full salary minus statutory for 26 weeks after 2 years of service</t>
  </si>
  <si>
    <t>Until no longer an employee</t>
  </si>
  <si>
    <t>Monthly</t>
  </si>
  <si>
    <t>We pay sick pay for 13 weeks</t>
  </si>
  <si>
    <t>We continue to pay full pay (less SSP) for first 13 weeks</t>
  </si>
  <si>
    <t>13 weeks of full pay</t>
  </si>
  <si>
    <t>Not applicable, we pay sick pay for first 13 weeks</t>
  </si>
  <si>
    <t>LTD - Regular payment for 3 years followed by a lump sum , CII – lump sum</t>
  </si>
  <si>
    <t>percentage of earnings for 3 yrs plus multiple of 1 x earnings</t>
  </si>
  <si>
    <t>In house</t>
  </si>
  <si>
    <t>na</t>
  </si>
  <si>
    <t>Total disability only</t>
  </si>
  <si>
    <t>Base,Bonus,Retirement contributions,Commissions</t>
  </si>
  <si>
    <t>top up SSP to base salary</t>
  </si>
  <si>
    <t>All employees except interns</t>
  </si>
  <si>
    <t>66% of the salary</t>
  </si>
  <si>
    <t>Full base pay</t>
  </si>
  <si>
    <t>100% of pay for 26 weeks</t>
  </si>
  <si>
    <t>no max</t>
  </si>
  <si>
    <t>in house</t>
  </si>
  <si>
    <t>Company sick pay</t>
  </si>
  <si>
    <t>Salary paid in full for approved and certified absence</t>
  </si>
  <si>
    <t>Specified age that is not retirement age</t>
  </si>
  <si>
    <t>There is no vendor. It's self-insured.</t>
  </si>
  <si>
    <t>75% salary less State Basic Employment Support Allowance</t>
  </si>
  <si>
    <t>Salary Continuation</t>
  </si>
  <si>
    <t>Monthly Basis</t>
  </si>
  <si>
    <t>Paid at base salary</t>
  </si>
  <si>
    <t>13 calendar weeks of fully paid sick time at 100% of salary</t>
  </si>
  <si>
    <t>No vendor</t>
  </si>
  <si>
    <t>Return to work, retirement or death</t>
  </si>
  <si>
    <t>Base,Bonus,Retirement contributions</t>
  </si>
  <si>
    <t>Amount paid is based on length of service</t>
  </si>
  <si>
    <t>depends on salary</t>
  </si>
  <si>
    <t>Empolyer</t>
  </si>
  <si>
    <t>Defined contribution plan</t>
  </si>
  <si>
    <t>Payment into salary</t>
  </si>
  <si>
    <t>Managed locally</t>
  </si>
  <si>
    <t>Contingent - company contributes only if employee makes contributions</t>
  </si>
  <si>
    <t>double up to 10% employer</t>
  </si>
  <si>
    <t>Immediate</t>
  </si>
  <si>
    <t>Free choice from platform</t>
  </si>
  <si>
    <t>Cash</t>
  </si>
  <si>
    <t>Base,Bonus,Overtime,Commission,Other, please specify</t>
  </si>
  <si>
    <t>flex dollars</t>
  </si>
  <si>
    <t>Hybrid - company contributes standard percentage plus matching (some or part) of employee contributions</t>
  </si>
  <si>
    <t>100% on Core contribution 50% on Additional contribution up to NIC Savings</t>
  </si>
  <si>
    <t>Lifestyle,Free choice from platform</t>
  </si>
  <si>
    <t>Scottish Widows</t>
  </si>
  <si>
    <t>Master trust/NEST</t>
  </si>
  <si>
    <t>cash alternative</t>
  </si>
  <si>
    <t>6% employee contribution matched by 6% employer contribution</t>
  </si>
  <si>
    <t>Pension contribution flex to a savings opportunity</t>
  </si>
  <si>
    <t>Both employee and employer contribution flex</t>
  </si>
  <si>
    <t>1:1 up to 5%</t>
  </si>
  <si>
    <t>Lifestyle,ESG,Free choice from platform</t>
  </si>
  <si>
    <t>Balanced Lifestyle Strategy (Drawdown) fund</t>
  </si>
  <si>
    <t>Royal London</t>
  </si>
  <si>
    <t>Base,Commission</t>
  </si>
  <si>
    <t>0-7.5</t>
  </si>
  <si>
    <t>Target date fund</t>
  </si>
  <si>
    <t>Employee contribution + 4%</t>
  </si>
  <si>
    <t>Lifestyle</t>
  </si>
  <si>
    <t>Willis Towers Watson</t>
  </si>
  <si>
    <t>Mix</t>
  </si>
  <si>
    <t>Aegon</t>
  </si>
  <si>
    <t>Cash alternative is available on request if employee has attained the pension Lifetime Allowance. Subject to company's discretion.</t>
  </si>
  <si>
    <t>Base salary (non-Sales employees) or Base salary + Target Sales Incentive Amount (if Sales). Excludes any other bonus, allowance or shiftwork payments.</t>
  </si>
  <si>
    <t>Ratio is 1:1. Employee can contribute 4%, 5% or 6% (whole percentages), and company will match the same percentage, up to 6%.</t>
  </si>
  <si>
    <t>Mercer Master Trust, which is administered by Scottish Widows.</t>
  </si>
  <si>
    <t xml:space="preserve">Automatic - company contributes standard percentage regardless of employee contribution </t>
  </si>
  <si>
    <t>Base,Bonus,Commission</t>
  </si>
  <si>
    <t>Group personal pension plan</t>
  </si>
  <si>
    <t>Employer contributions are paid as an allowance</t>
  </si>
  <si>
    <t>The Annual Allowance Reduction and The Lifetime allowance reduction</t>
  </si>
  <si>
    <t>3% they match 6%, 4% they match 8%, 5% they match 8%, 6% and above they match 8%</t>
  </si>
  <si>
    <t>Equities</t>
  </si>
  <si>
    <t>Defined contribution plan,Group personal pension plan</t>
  </si>
  <si>
    <t>match up to 10%</t>
  </si>
  <si>
    <t>Managed regionally</t>
  </si>
  <si>
    <t>1% - 6%, 2% - 7%, 3% - 8%</t>
  </si>
  <si>
    <t>lifetime and annual allowance payments</t>
  </si>
  <si>
    <t>Managed globally</t>
  </si>
  <si>
    <t>No "vesting schedule" applies to our retirement plan. It becomes available at retirement age.</t>
  </si>
  <si>
    <t>Hybrid</t>
  </si>
  <si>
    <t>Cash allowance</t>
  </si>
  <si>
    <t>Group Personal pension  auto enrolled after 3 months</t>
  </si>
  <si>
    <t>a pension saving plan</t>
  </si>
  <si>
    <t>Pensionable salary is defined as Base Pay + Target Commissions for Sales Quota Employees or Base Pay for Non Quota Employees.</t>
  </si>
  <si>
    <t>company matches employees' contributions from 4% to 7%</t>
  </si>
  <si>
    <t>depends which plan the employee has selected. Typical retirement plans usually vest when employee reaches the age of 55</t>
  </si>
  <si>
    <t>Hybid of mix of funds</t>
  </si>
  <si>
    <t>Cash allowance in lieu of contributions</t>
  </si>
  <si>
    <t>Group Personal Pension Plan insured with Scottish Widows</t>
  </si>
  <si>
    <t>Tapered annual allowance</t>
  </si>
  <si>
    <t>employee 4%/ Employer 6% or E'ee 5%/ e'er 7.5% or e'ee 6%/ e'er 9%</t>
  </si>
  <si>
    <t>Base,Bonus,Overtime,Commission,Allowances</t>
  </si>
  <si>
    <t>up to 7%</t>
  </si>
  <si>
    <t>Flexible option on modern platform</t>
  </si>
  <si>
    <t>Bespoke default, under change to Aviva MyFuture</t>
  </si>
  <si>
    <t>Minimal employee contribution of 5%, matched up to 6%</t>
  </si>
  <si>
    <t>Matching company contribution available up to 6% employee and  9% employer</t>
  </si>
  <si>
    <t>Defined contribution plan,Master trust/NEST,Pension contribution flex to a savings opportunity</t>
  </si>
  <si>
    <t>Employees impacted by Lifetime Allowance can opt out and receive cash allowance benefit in lieu of the max company contribution rate, the allowance can be paid into one of the available saving options  (ISA/GIA). Those impacted by annual allowance can suspend contributions until end of tax year, employees then have the option to pay EE&amp;ER contributions into ISA/GIA. Where an employee is not eligible for alternative saving options they can elect to receive ER contribution as a cash allowance into monthly salary.</t>
  </si>
  <si>
    <t>Match +3e.g employee gives 3% company gives 6%</t>
  </si>
  <si>
    <t>Lifestyle,ESG</t>
  </si>
  <si>
    <t>70% in passively managed global equities and 30% in a multi-asset fund.</t>
  </si>
  <si>
    <t>Fidelity</t>
  </si>
  <si>
    <t>Defined contribution benefit operated via a Master Trust with Fidelity</t>
  </si>
  <si>
    <t>No, we have set amounts or maximums depending on the amount the employee selects</t>
  </si>
  <si>
    <t>Salary Sacrifice scheme with Aviva online MyMoney Platform</t>
  </si>
  <si>
    <t>If EE puts in 4%, company puts in 6%; EE puts in 4.5%, company puts in 6.5%; EE puts in 5% or more, company puts in 7.5%</t>
  </si>
  <si>
    <t>Cash payment</t>
  </si>
  <si>
    <t>Buck</t>
  </si>
  <si>
    <t>3%/6%</t>
  </si>
  <si>
    <t>subject to Annual Allowance</t>
  </si>
  <si>
    <t>On joining the company,if  you  are  an  eligible  jobholder  you will  be  automatically  enrolled  into  the  Group Personal Pension  Plan  following three complete  months  of  continuous  service. You  will  pay 3%  of your  pensionable  salary  and  your  employer  will  pay 6%  of  your  pensionable  salary.</t>
  </si>
  <si>
    <t>targets flexible retirement</t>
  </si>
  <si>
    <t>Money market</t>
  </si>
  <si>
    <t>Cash in lieu</t>
  </si>
  <si>
    <t>The current default fund is a ‘multi-asset’ fund</t>
  </si>
  <si>
    <t>Employer contribution 5%, Employee Contribution 4% - base salary</t>
  </si>
  <si>
    <t>Cash alternative</t>
  </si>
  <si>
    <t>Employees are enrolled in a default fund and have the option of selecting over 160 funds (including lifestyle plans).</t>
  </si>
  <si>
    <t>Defined contribution plan,Master trust/NEST</t>
  </si>
  <si>
    <t>Managed :Locally and Globally</t>
  </si>
  <si>
    <t>5% Employee; 7% Employer ; 50% match up to an employer  maximum of 8%. Annual Auto escalation of employee contribution upto 10%</t>
  </si>
  <si>
    <t>Universal target- lifestyle based on age</t>
  </si>
  <si>
    <t>Standard Life</t>
  </si>
  <si>
    <t>cash</t>
  </si>
  <si>
    <t>Collection of funds</t>
  </si>
  <si>
    <t>Matching contributions via salary exchange mechanism</t>
  </si>
  <si>
    <t>Additional allowance</t>
  </si>
  <si>
    <t>Stock option plan for all employees</t>
  </si>
  <si>
    <t>Life Cycle, ESG, Own fund management</t>
  </si>
  <si>
    <t>Balanced Targeting Encashment</t>
  </si>
  <si>
    <t>We waive employee contributions, pay £4,000 as an employer contribution each year and the balance of the employer contribution (8% of base less £4,000) is delivered as a taxable monthly pension bonus</t>
  </si>
  <si>
    <t>Very high (9-10)</t>
  </si>
  <si>
    <t>Does not impact</t>
  </si>
  <si>
    <t>Continuous marketing of wellbeing programs,Medical assessments,Encouraging teamwork through relevant training, exercises, rewards or recognition,Providing opportunity for training and personal development,Effective communication between all levels of the organization</t>
  </si>
  <si>
    <t>Offsite,Telephonic,Webinar</t>
  </si>
  <si>
    <t>We have a wealth of online resources that all employees can make use of as well as an app</t>
  </si>
  <si>
    <t>Voluntary benefits,Personal financial advisor</t>
  </si>
  <si>
    <t>Webinars,In person advisors or 1:1 sessions,Online tool</t>
  </si>
  <si>
    <t>We offer financial advisers as a voluntary benefit</t>
  </si>
  <si>
    <t>Somewhat impacts</t>
  </si>
  <si>
    <t>Continuous marketing of wellbeing programs,Effective communication between all levels of the organization</t>
  </si>
  <si>
    <t>Retirement planning tools and calculators,Financial health assessments,Financial counseling</t>
  </si>
  <si>
    <t>Vendor  Secondsight</t>
  </si>
  <si>
    <t>High (7-8)</t>
  </si>
  <si>
    <t>Open door policy,Survey</t>
  </si>
  <si>
    <t>Continuous marketing of wellbeing programs,Medical assessments,Providing opportunity for training and personal development,Effective communication between all levels of the organization</t>
  </si>
  <si>
    <t>Flexible work policies,Immunizations or vaccinations,Nurse line or other health decision phone support,Workplace health challenges or competitions,Occupational health programs</t>
  </si>
  <si>
    <t>Telephonic,Webinar</t>
  </si>
  <si>
    <t>Each year there might be different focus i.e. cancer screening or know your numbers screening, decision is taken on annual basis</t>
  </si>
  <si>
    <t>Employee feedback,Formal survey</t>
  </si>
  <si>
    <t>AVC</t>
  </si>
  <si>
    <t>Webinars,Online tool</t>
  </si>
  <si>
    <t>Benefits team,HR</t>
  </si>
  <si>
    <t>Bupa</t>
  </si>
  <si>
    <t>Campaigns promoting the importance of mental health (e.g., webinars, workshops, etc.),Mental health topics included in executive and manager leadership training,Webinars on wellness topics</t>
  </si>
  <si>
    <t>Open door policy</t>
  </si>
  <si>
    <t>Continuous marketing of wellbeing programs,Encouraging teamwork through relevant training, exercises, rewards or recognition</t>
  </si>
  <si>
    <t>Flexible work policies,Immunizations or vaccinations,Healthy workplace environment,Work/Life balance support</t>
  </si>
  <si>
    <t>Employee feedback</t>
  </si>
  <si>
    <t>Open door policy,Monetary bonus and incentives,Survey</t>
  </si>
  <si>
    <t>Continuous marketing of wellbeing programs,Providing opportunity for training and personal development,Effective communication between all levels of the organization</t>
  </si>
  <si>
    <t>Flexible work policies,Immunizations or vaccinations,Wellness/Wellbeing allowance,Nurse line or other health decision phone support,Healthy lifestyle programs and coaching,Stress management or resilience building programs,Treatment support</t>
  </si>
  <si>
    <t>IncentFit, Spring Health</t>
  </si>
  <si>
    <t>Immunizations or vaccinations,Biometric health screenings,Nurse line or other health decision phone support,Workplace health challenges or competitions,Healthy lifestyle programs and coaching,Work/Life balance support</t>
  </si>
  <si>
    <t>Retirement planning tools and calculators,Promoting money management vs. saving,Financial counseling</t>
  </si>
  <si>
    <t>ComPsych, Sanvello</t>
  </si>
  <si>
    <t xml:space="preserve">Social support network,Campaigns promoting the importance of mental health (e.g., webinars, workshops, etc.),Mental health topics included in executive and manager leadership training,Virtual medical services available 24/7 </t>
  </si>
  <si>
    <t>Continuous marketing of wellbeing programs,Encouraging teamwork through relevant training, exercises, rewards or recognition,Providing opportunity for training and personal development,Effective communication between all levels of the organization</t>
  </si>
  <si>
    <t>Immunizations or vaccinations,Healthy workplace environment,Nurse line or other health decision phone support,Occupational health programs,Healthy lifestyle programs and coaching,Chronic disease management support or coaching,Stress management or resilience building programs,Work/Life balance support</t>
  </si>
  <si>
    <t>Onsite clinic,Telephonic</t>
  </si>
  <si>
    <t>Metrics in place to measure increase in productivity, retention, overall engagement</t>
  </si>
  <si>
    <t>Retirement planning tools and calculators,Voluntary benefits</t>
  </si>
  <si>
    <t>Online tool</t>
  </si>
  <si>
    <t>Magellan</t>
  </si>
  <si>
    <t>Greatly impacts</t>
  </si>
  <si>
    <t>Employee engagement activities</t>
  </si>
  <si>
    <t>Immunizations or vaccinations,Health risk assessment,Wellness/Wellbeing allowance,Healthy lifestyle programs and coaching,Stress management or resilience building programs</t>
  </si>
  <si>
    <t>Recent move to remote working therefore we are still managing change from site delivery to remote delivery of program</t>
  </si>
  <si>
    <t>Web/Seminars on financial wellness</t>
  </si>
  <si>
    <t>Optum and internally managed programs</t>
  </si>
  <si>
    <t>Employee Assistance Program, Mental Health First Aiders</t>
  </si>
  <si>
    <t>Employee feedback collected after wellbeing events</t>
  </si>
  <si>
    <t>Continuous marketing of wellbeing programs,Medical assessments,Providing opportunity for training and personal development</t>
  </si>
  <si>
    <t>Flexible work policies,Immunizations or vaccinations,Health risk assessment,Nurse line or other health decision phone support,Workplace health challenges or competitions,Occupational health programs,Healthy lifestyle programs and coaching,Stress management or resilience building programs,Other, please specify</t>
  </si>
  <si>
    <t>Mental Health First Aiders</t>
  </si>
  <si>
    <t>Variety of programs covering Financial wellness, Physical wellbeing and Stress Management/Mental Health. We also have an EAP program and a Mental Health First Aider program. We offer free trainings, free vaccinations and free preventative screens (cancer screens, blood pressure, mental health assessments, nutrition counseling, etc). We offer Wellness Friday (official half day off one a month).</t>
  </si>
  <si>
    <t>Annual financial education campaigns tailored for early, mid-career, and pre-retirement employee groups.</t>
  </si>
  <si>
    <t>Webinars,Online tool,Other, please specify</t>
  </si>
  <si>
    <t>Access to a free 1-hour 1:1 financial counseling session after attending a webinar.</t>
  </si>
  <si>
    <t>Benefits team,Other, please specify</t>
  </si>
  <si>
    <t>Employee volunteers</t>
  </si>
  <si>
    <t>Wide variety.</t>
  </si>
  <si>
    <t>Perks and benefits,Survey</t>
  </si>
  <si>
    <t>Flexible work policies,Immunizations or vaccinations,Wellness/Wellbeing allowance,Healthy lifestyle programs and coaching,Work/Life balance support</t>
  </si>
  <si>
    <t>Since Covid, wellbeing programs are offered online; employees can expense the cost of the flu shot</t>
  </si>
  <si>
    <t>ComPsych, Axa, Whil</t>
  </si>
  <si>
    <t xml:space="preserve">Campaigns promoting the importance of mental health (e.g., webinars, workshops, etc.),Webinars on wellness topics,Virtual medical services available 24/7 </t>
  </si>
  <si>
    <t>Survey</t>
  </si>
  <si>
    <t>Providing opportunity for training and personal development,Effective communication between all levels of the organization</t>
  </si>
  <si>
    <t>Retirement planning tools and calculators,Financial health assessments</t>
  </si>
  <si>
    <t>Flexible work policies,Immunizations or vaccinations,Wellness/Wellbeing allowance,Healthy workplace environment,Other, please specify</t>
  </si>
  <si>
    <t>We engaged an online fitness coach during Covid</t>
  </si>
  <si>
    <t>Zoom Meetings</t>
  </si>
  <si>
    <t>We have a Chiropractor and Masseur that attend site bi weekly.</t>
  </si>
  <si>
    <t>Retirement planning tools and calculators,Personal financial advisor</t>
  </si>
  <si>
    <t>We have a Scottish Widows account manager and the arrange workshops.</t>
  </si>
  <si>
    <t>Retirement planning tools and calculators</t>
  </si>
  <si>
    <t>Annual fair on all our benefits and sporadic events throughout the year</t>
  </si>
  <si>
    <t>Mental health, Physical health</t>
  </si>
  <si>
    <t>Flexible work policies,Immunizations or vaccinations,Wellness/Wellbeing allowance,Healthy workplace environment,Work/Life balance support</t>
  </si>
  <si>
    <t>Webinar,Other, please specify</t>
  </si>
  <si>
    <t>app-enabled</t>
  </si>
  <si>
    <t>point solutions and apps are offered to support employees</t>
  </si>
  <si>
    <t>Onsite clinic,Other, please specify</t>
  </si>
  <si>
    <t>Website</t>
  </si>
  <si>
    <t>We offer a health and fitness portal. This provides mental health videos, fitness classes virtually, recordings</t>
  </si>
  <si>
    <t>Formal survey</t>
  </si>
  <si>
    <t>Gift cards,Non-monetary gifts</t>
  </si>
  <si>
    <t>Workplace health challenges or competitions</t>
  </si>
  <si>
    <t>Retirement planning tools and calculators,Interactive investment or financial planning games,Other, please specify</t>
  </si>
  <si>
    <t>Financial wellness is available on our wellness portal</t>
  </si>
  <si>
    <t>Employee health and safety team,Benefits team,HR</t>
  </si>
  <si>
    <t>Grokker</t>
  </si>
  <si>
    <t>Continuous marketing of wellbeing programs,Medical assessments</t>
  </si>
  <si>
    <t>Flexible work policies,Health risk assessment</t>
  </si>
  <si>
    <t>Flexible work policies,Healthy workplace environment,Nurse line or other health decision phone support,Occupational health programs,Stress management or resilience building programs,Work/Life balance support,Fitness center</t>
  </si>
  <si>
    <t>Financial Wellbeing Education</t>
  </si>
  <si>
    <t>Webinars,Online tool,Offsite</t>
  </si>
  <si>
    <t>Pavelka, nudge, BUPA</t>
  </si>
  <si>
    <t>Campaigns promoting the importance of mental health (e.g., webinars, workshops, etc.),Webinars on wellness topics</t>
  </si>
  <si>
    <t>Continuous marketing of wellbeing programs,Encouraging teamwork through relevant training, exercises, rewards or recognition,Effective communication between all levels of the organization</t>
  </si>
  <si>
    <t>Webinar</t>
  </si>
  <si>
    <t>Providing opportunity for training and personal development</t>
  </si>
  <si>
    <t>-</t>
  </si>
  <si>
    <t>Flexible work policies,Wellness/Wellbeing allowance,Healthy lifestyle programs and coaching,Stress management or resilience building programs</t>
  </si>
  <si>
    <t>USD 1,000 equivalent per year to be reimbursed against wellbeing products and services</t>
  </si>
  <si>
    <t>Employee feedback,Metrics in place to measure increase in productivity, retention, overall engagement</t>
  </si>
  <si>
    <t>Money</t>
  </si>
  <si>
    <t>Flexible work policies,Wellness/Wellbeing allowance</t>
  </si>
  <si>
    <t>TWIC</t>
  </si>
  <si>
    <t xml:space="preserve">Campaigns promoting the importance of mental health (e.g., webinars, workshops, etc.),Webinars on wellness topics,Transparent and timely communication in the organization,Virtual medical services available 24/7 </t>
  </si>
  <si>
    <t>Flexible work policies,Immunizations or vaccinations,Workplace health challenges or competitions,Work/Life balance support</t>
  </si>
  <si>
    <t>Health fair,Telephonic,Webinar</t>
  </si>
  <si>
    <t>through our pensions vendor mostly</t>
  </si>
  <si>
    <t>Immunizations or vaccinations,Health risk assessment,Wellness/Wellbeing allowance,Nurse line or other health decision phone support,Workplace health challenges or competitions,Occupational health programs,Healthy lifestyle programs and coaching,Stress management or resilience building programs,Work/Life balance support</t>
  </si>
  <si>
    <t>Raffle prizes,Other, please specify</t>
  </si>
  <si>
    <t>Formal recognition system</t>
  </si>
  <si>
    <t>Webinars,Other, please specify</t>
  </si>
  <si>
    <t>EAP counselling</t>
  </si>
  <si>
    <t>Benefits team,HR,Other, please specify</t>
  </si>
  <si>
    <t>Voluntary Wellbeing Champions</t>
  </si>
  <si>
    <t>Various</t>
  </si>
  <si>
    <t>Continuous marketing of wellbeing programs,Medical assessments,Encouraging teamwork through relevant training, exercises, rewards or recognition,Effective communication between all levels of the organization</t>
  </si>
  <si>
    <t>Retirement planning tools and calculators,Financial health assessments,Promoting money management vs. saving,Financial counseling</t>
  </si>
  <si>
    <t>Generali  Check for Cancer Menopause 101 Axa  MHAW</t>
  </si>
  <si>
    <t>Monetary bonus and incentives</t>
  </si>
  <si>
    <t>Continuous marketing of wellbeing programs</t>
  </si>
  <si>
    <t>Our EAP provider runs seminars for employees and manager education &amp; training on wellbeing topics</t>
  </si>
  <si>
    <t>Retirement planning tools and calculators,Other, please specify</t>
  </si>
  <si>
    <t>Retirement Seminars</t>
  </si>
  <si>
    <t>Webinars,In person advisors or 1:1 sessions,Online tool,Onsite</t>
  </si>
  <si>
    <t>We also have a voluntary benefit, employee paid for, with Octopus Moneycoach whereby employees can pay for a financial coach to plan their finances</t>
  </si>
  <si>
    <t>Neutral (5-6)</t>
  </si>
  <si>
    <t>Flexible work policies,Immunizations or vaccinations,Wellness/Wellbeing allowance,Nurse line or other health decision phone support,Healthy workplace design,Occupational health programs,Work/Life balance support</t>
  </si>
  <si>
    <t>Flexible work policies,Healthy workplace environment,Workplace health challenges or competitions,Healthy workplace design,Occupational health programs,Healthy lifestyle programs and coaching,Chronic disease management support or coaching,Stress management or resilience building programs,Work/Life balance support,Fitness center</t>
  </si>
  <si>
    <t>Money,Gift cards,Non-monetary gifts,Raffle prizes</t>
  </si>
  <si>
    <t>Workplace health challenges or competitions,Healthy lifestyle programs and coaching</t>
  </si>
  <si>
    <t>Webinars,In person advisors or 1:1 sessions,Online tool,Onsite,Offsite</t>
  </si>
  <si>
    <t>Employee health and safety team,Benefits team,HR,Facilities</t>
  </si>
  <si>
    <t>Virgin Pulse, Compsych</t>
  </si>
  <si>
    <t>Continuous marketing of wellbeing programs,Providing opportunity for training and personal development</t>
  </si>
  <si>
    <t>In addition to wellbeing programs offered in our EAP we provide a $600 annual wellness reimbursement plus company paid access to Headspace and LifeDojo for employee and one adult dependent</t>
  </si>
  <si>
    <t>Retirement planning tools and calculators,Promoting money management vs. saving</t>
  </si>
  <si>
    <t>Webinars</t>
  </si>
  <si>
    <t>This is a developing area for us</t>
  </si>
  <si>
    <t>Employee health and safety team,Benefits team,Facilities</t>
  </si>
  <si>
    <t>Headspace, LifeDojo, Guidance Resource</t>
  </si>
  <si>
    <t xml:space="preserve">Social support network,Campaigns promoting the importance of mental health (e.g., webinars, workshops, etc.),Virtual medical services available 24/7 </t>
  </si>
  <si>
    <t>Healthy workplace environment,Healthy workplace design,Work/Life balance support,Fitness center</t>
  </si>
  <si>
    <t>Offsite,Telephonic</t>
  </si>
  <si>
    <t>Global Employee Assitance Program through Workplace options</t>
  </si>
  <si>
    <t>Workplace options, Canada Life, Bupa</t>
  </si>
  <si>
    <t>Non-monetary gifts</t>
  </si>
  <si>
    <t>Virgin Pulse, Whil, Optum</t>
  </si>
  <si>
    <t>Voluntary benefits,Financial health assessments,Personal financial advisor,Promoting money management vs. saving,Financial counseling</t>
  </si>
  <si>
    <t>We partner with Nudge to offer an app for financial support, Deloitte for tax support, Charles Cameron &amp; Associates (CC&amp;A) for mortgage support, Rocket Laywer for legal help and City Capital Financial Planning</t>
  </si>
  <si>
    <t>Wellbeing, mental health, physical health, financial health, mindfulness, nutrition, maternity support, men's health, women's health, bullying and harassment etc.</t>
  </si>
  <si>
    <t>Nudge, Axa Health, Reframe, ICAS, Best Doctors, Cigna Dental Insurance, Rethink, Stronger Minds, Healthy Performance,</t>
  </si>
  <si>
    <t>Flexible work policies,Immunizations or vaccinations,Wellness/Wellbeing allowance,Healthy workplace environment,Nurse line or other health decision phone support,Employee health fairs,Healthy workplace design,Occupational health programs,Healthy lifestyle programs and coaching,Chronic disease management support or coaching,Stress management or resilience building programs,Work/Life balance support,Treatment support</t>
  </si>
  <si>
    <t>Employees</t>
  </si>
  <si>
    <t>Health fair is typically provided via the presentation of existing benefits via our current partner (AXA, Unum, etc)</t>
  </si>
  <si>
    <t>Mainly around the benefits available to them so they are aware of the benefits they have.</t>
  </si>
  <si>
    <t>Encouraging teamwork through relevant training, exercises, rewards or recognition,Providing opportunity for training and personal development,Effective communication between all levels of the organization</t>
  </si>
  <si>
    <t>Cross Functional Team</t>
  </si>
  <si>
    <t>Health week</t>
  </si>
  <si>
    <t>General Health and Wellbeing</t>
  </si>
  <si>
    <t>Cigna, UK Liver Foundation</t>
  </si>
  <si>
    <t>Continuous marketing of wellbeing programs,Encouraging teamwork through relevant training, exercises, rewards or recognition,Providing opportunity for training and personal development</t>
  </si>
  <si>
    <t>Telephonic,Webinar,Other, please specify</t>
  </si>
  <si>
    <t>Fitness Reimbursement; Virgin Pulse platform</t>
  </si>
  <si>
    <t>Health risk assessment,Employee health fairs,Workplace health challenges or competitions</t>
  </si>
  <si>
    <t>Financial counseling,Other, please specify</t>
  </si>
  <si>
    <t>Financial workshops through benefits consultant</t>
  </si>
  <si>
    <t>Webinars,In person advisors or 1:1 sessions</t>
  </si>
  <si>
    <t>Virgin Pulse</t>
  </si>
  <si>
    <t>Primarily webinars for now, transitioning to in-person options in 2022</t>
  </si>
  <si>
    <t>We have Nudge financial education which provides information/education via 'nudges'</t>
  </si>
  <si>
    <t>Varies, but we collaborate with Corporate Services to offer themed events and support healthy eating such as vegan weeks etc.</t>
  </si>
  <si>
    <t>Variety but mostly healthy eating, emotional health support</t>
  </si>
  <si>
    <t>mix of benefits vendors and standalone speakers</t>
  </si>
  <si>
    <t>Flexible work policies,Immunizations or vaccinations,Biometric health screenings,Health risk assessment,Nurse line or other health decision phone support,Workplace health challenges or competitions,Stress management or resilience building programs</t>
  </si>
  <si>
    <t>Onsite clinic,Webinar</t>
  </si>
  <si>
    <t>Opportunity to book 1:1 sessions with a benefits advisor</t>
  </si>
  <si>
    <t>Survey,Other, please specify</t>
  </si>
  <si>
    <t>Exit interviews</t>
  </si>
  <si>
    <t>Via apps / Slack channels / payroll allowance</t>
  </si>
  <si>
    <t>Benefits team,HR,Senior leader</t>
  </si>
  <si>
    <t>Headspace, Happify, KonTerra, Cleo, AXA</t>
  </si>
  <si>
    <t>Nurse line or other health decision phone support,Work/Life balance support</t>
  </si>
  <si>
    <t>Financial counseling</t>
  </si>
  <si>
    <t>As part of the employee support service tool, they can contact advisors online for financial advice</t>
  </si>
  <si>
    <t>Canada Life offer the employee support service and Lifeworks offer our EAP</t>
  </si>
  <si>
    <t>Health fair,Webinar</t>
  </si>
  <si>
    <t>Webinars,Online tool,Onsite</t>
  </si>
  <si>
    <t>Employee health and safety team</t>
  </si>
  <si>
    <t>Benefits day</t>
  </si>
  <si>
    <t>All</t>
  </si>
  <si>
    <t>Scottish Widows, Axa, Cleo, Bupa</t>
  </si>
  <si>
    <t>Onsite and virtual exercise classes</t>
  </si>
  <si>
    <t>Pension webinars and zoom 1:1 sessions for our employees to ask their questions to the provider directly</t>
  </si>
  <si>
    <t>WorkPlace Options (general) Aviva (financial)</t>
  </si>
  <si>
    <t>Flexible work policies,Healthy workplace environment,Nurse line or other health decision phone support,Occupational health programs,Stress management or resilience building programs,Work/Life balance support,Other, please specify</t>
  </si>
  <si>
    <t>Gym Allowance</t>
  </si>
  <si>
    <t>Campaigns promoting the importance of mental health (e.g., webinars, workshops, etc.)</t>
  </si>
  <si>
    <t>Healthy lifestyle programs and coaching,Stress management or resilience building programs</t>
  </si>
  <si>
    <t>EAP, Online Fitness app</t>
  </si>
  <si>
    <t>Grokker, Konterra</t>
  </si>
  <si>
    <t>Flexible work policies,Immunizations or vaccinations,Healthy workplace environment,Nurse line or other health decision phone support,Healthy lifestyle programs and coaching,Work/Life balance support</t>
  </si>
  <si>
    <t>Onsite clinic,Telephonic,Webinar</t>
  </si>
  <si>
    <t>Retirement planning tools and calculators,Financial health assessments,Personal financial advisor,Financial counseling</t>
  </si>
  <si>
    <t>Monetary Wellness and Mental Health Allowances</t>
  </si>
  <si>
    <t>All employees receive an allowance of £90 a month to use on wellbeing (gym membership, personal training, meditation, fitness trackers etc.) They also receive an annual mental health allowance of £1,125 which can be used for counseling.</t>
  </si>
  <si>
    <t>Money,Subsidized passes for gym</t>
  </si>
  <si>
    <t>Retirement planning tools and calculators,Personal financial advisor,Promoting money management vs. saving,Financial counseling</t>
  </si>
  <si>
    <t>Partnered with Origin for 1:1 financial advice and support</t>
  </si>
  <si>
    <t>Twic, Modern Health, Origin</t>
  </si>
  <si>
    <t>Medical assessments</t>
  </si>
  <si>
    <t>Immunizations or vaccinations</t>
  </si>
  <si>
    <t>Onsite clinic,Offsite,Telephonic</t>
  </si>
  <si>
    <t>Webinars,Onsite</t>
  </si>
  <si>
    <t>Benefits team</t>
  </si>
  <si>
    <t>Flexible work policies,Healthy workplace environment,Workplace health challenges or competitions,Healthy workplace design,Stress management or resilience building programs,Work/Life balance support</t>
  </si>
  <si>
    <t>Voluntary benefits,Financial counseling</t>
  </si>
  <si>
    <t>Retirement planning tools and calculators,Financial counseling</t>
  </si>
  <si>
    <t>Bupa, Optum, Nudge, RSM, Scottish Widows.</t>
  </si>
  <si>
    <t>Flexible work policies,Healthy lifestyle programs and coaching,Stress management or resilience building programs,Work/Life balance support</t>
  </si>
  <si>
    <t>App</t>
  </si>
  <si>
    <t>We use wellness app TaskHuman</t>
  </si>
  <si>
    <t>TaskHuman, Optum EAP</t>
  </si>
  <si>
    <t>Flexible work policies,Immunizations or vaccinations,Healthy workplace environment,Healthy lifestyle programs and coaching,Stress management or resilience building programs,Work/Life balance support</t>
  </si>
  <si>
    <t>Retirement planning tools and calculators,Financial health assessments,Personal financial advisor,Promoting money management vs. saving,Financial counseling</t>
  </si>
  <si>
    <t>EAP program</t>
  </si>
  <si>
    <t>online portal</t>
  </si>
  <si>
    <t>online tool via pension platform</t>
  </si>
  <si>
    <t>Focus group discussions,Open door policy,Survey</t>
  </si>
  <si>
    <t>Continuous marketing of wellbeing programs,Effective communication between all levels of the organization,Other, please specify</t>
  </si>
  <si>
    <t>We are currently working on our Global Strategy, which will focus on Responsibility &amp; Ownership and Access</t>
  </si>
  <si>
    <t>Immunizations or vaccinations,Healthy workplace environment,Nurse line or other health decision phone support,Healthy workplace design,Occupational health programs,Stress management or resilience building programs,Work/Life balance support</t>
  </si>
  <si>
    <t>We have a mindfullness app, textbased coaching and an EAP plan. We use internal employee platforms to talk about this services.</t>
  </si>
  <si>
    <t>Employee feedback,Other, please specify</t>
  </si>
  <si>
    <t>Working on more measurements for the future</t>
  </si>
  <si>
    <t>Wellbeing and occupation Health</t>
  </si>
  <si>
    <t>Headspace, Ginger and WPO</t>
  </si>
  <si>
    <t>Global wellness reimbursement program</t>
  </si>
  <si>
    <t>Flexible work policies,Immunizations or vaccinations,Healthy workplace environment,Nurse line or other health decision phone support,Workplace health challenges or competitions,Healthy workplace design,Occupational health programs,Healthy lifestyle programs and coaching,Stress management or resilience building programs,Work/Life balance support,Treatment support</t>
  </si>
  <si>
    <t>third party vendors; individual consultants</t>
  </si>
  <si>
    <t>Modern Health</t>
  </si>
  <si>
    <t>Medical assessments,Effective communication between all levels of the organization</t>
  </si>
  <si>
    <t>Modern Health - providing employer funded coaching and therapy for all employees and their families</t>
  </si>
  <si>
    <t>AXA and Modern Health</t>
  </si>
  <si>
    <t>Per incident</t>
  </si>
  <si>
    <t>email</t>
  </si>
  <si>
    <t>Somewhat</t>
  </si>
  <si>
    <t>6% - 10%</t>
  </si>
  <si>
    <t>They don't need it</t>
  </si>
  <si>
    <t>Health Assured</t>
  </si>
  <si>
    <t>newsletters, targeted promotions &amp; wellness communications, benefits website, critical incident interventions, etc.</t>
  </si>
  <si>
    <t>educations, promotion and communications</t>
  </si>
  <si>
    <t>Don't know</t>
  </si>
  <si>
    <t>Morneau Shepelle</t>
  </si>
  <si>
    <t>Per year</t>
  </si>
  <si>
    <t>During Manager meetings, through newsletters, through HR when an employee approaches them with certain concerns, through OH</t>
  </si>
  <si>
    <t>Education, trainings</t>
  </si>
  <si>
    <t>1% - 5%</t>
  </si>
  <si>
    <t>Not in our culture to use this benefit</t>
  </si>
  <si>
    <t>Spring Health Global, Grayce carers support</t>
  </si>
  <si>
    <t>Personal issues,Job stress,Eldercare,Relationship issues,Parenting issues,Separation and loss,Balancing work and family,Financial or legal</t>
  </si>
  <si>
    <t>Spring Health</t>
  </si>
  <si>
    <t>Internal internet site</t>
  </si>
  <si>
    <t>Normalising communications</t>
  </si>
  <si>
    <t>Unum Lifeworks</t>
  </si>
  <si>
    <t>Phone,Text,Online static resources (articles, white papers, etc.),Online dynamic resources (assessments, videos, webinars, exercises, etc.),Virtual counseling visits</t>
  </si>
  <si>
    <t>Sanvello</t>
  </si>
  <si>
    <t>Email and company website</t>
  </si>
  <si>
    <t>Webinar offerings to educate on mental health, company wide program offering such as Mindful Minute challenge</t>
  </si>
  <si>
    <t>ComPsych</t>
  </si>
  <si>
    <t>Phone,Online dynamic resources (assessments, videos, webinars, exercises, etc.),Virtual counseling visits,In-person counseling visits</t>
  </si>
  <si>
    <t>E-mail</t>
  </si>
  <si>
    <t>Education</t>
  </si>
  <si>
    <t>Not communicated properly</t>
  </si>
  <si>
    <t>Personal Crisis and Illness</t>
  </si>
  <si>
    <t>Local specific email, global company emails, company wide calls</t>
  </si>
  <si>
    <t>Greatly</t>
  </si>
  <si>
    <t>Constant reinforcement and encouragement to utilize the resources available - be it through direct managers, internal advertisement of the services (from leadership or Benefits communications) etc</t>
  </si>
  <si>
    <t>Personal preference</t>
  </si>
  <si>
    <t>Optum</t>
  </si>
  <si>
    <t>Computerized Cognitive Behavioural Therapy</t>
  </si>
  <si>
    <t>Personal issues,Job stress,Relationship issues,Parenting issues,Harassment,Substance abuse,Separation and loss,Balancing work and family,Financial or legal,Family violence,Manager support</t>
  </si>
  <si>
    <t>Wellness newsletters (email) and references to EAP during various Wellness campaigns.</t>
  </si>
  <si>
    <t>Dedicated manager training, ongoing promotion via behavioural/mental health webinars and campaigns.</t>
  </si>
  <si>
    <t>Personal issues,Job stress,Relationship issues,Parenting issues,Balancing work and family,Financial or legal</t>
  </si>
  <si>
    <t>Phone,Virtual counseling visits</t>
  </si>
  <si>
    <t>Wellness page, country intranet, emails and IMs</t>
  </si>
  <si>
    <t>Increased direction to EAP, giving employees resources about mental health, access to wellness initiatives</t>
  </si>
  <si>
    <t>11% - 20%</t>
  </si>
  <si>
    <t>Email and Intranet</t>
  </si>
  <si>
    <t>Legal and General, PPC</t>
  </si>
  <si>
    <t>Occupational Health Counselling - Face to Face</t>
  </si>
  <si>
    <t>Regular email updates to all employees</t>
  </si>
  <si>
    <t>Leadership, company wide emails</t>
  </si>
  <si>
    <t>Modern Health 1:1 therapy and coaching</t>
  </si>
  <si>
    <t>slack announcements, employee communities, marketing opportunities either directly or even indirectly related - any opportunity to mention the services we do</t>
  </si>
  <si>
    <t>unsure of impact on utilization</t>
  </si>
  <si>
    <t>open dialogue, offering robust support and services, ensuring tools and resources are available for mental health services for employees and their families</t>
  </si>
  <si>
    <t>other services meet their needs</t>
  </si>
  <si>
    <t>Lifeworks</t>
  </si>
  <si>
    <t>Leaflets, posters, emails, presentations, managers, HR</t>
  </si>
  <si>
    <t>all topics</t>
  </si>
  <si>
    <t>email/ posters and communication sessions</t>
  </si>
  <si>
    <t>Online static resources (articles, white papers, etc.),Virtual counseling visits,In-person counseling visits</t>
  </si>
  <si>
    <t>newsletters, intranet, wellbeing events, company events, employee all hands</t>
  </si>
  <si>
    <t>testimonials</t>
  </si>
  <si>
    <t>Phone,Text,Online static resources (articles, white papers, etc.),Online dynamic resources (assessments, videos, webinars, exercises, etc.),Virtual counseling visits,In-person counseling visits</t>
  </si>
  <si>
    <t>Email + All Hands announcements</t>
  </si>
  <si>
    <t>Apply a positive phrasing around the webinar invitations or offerings to specific subjects to minimize the stigma.</t>
  </si>
  <si>
    <t>Aetna-WPO</t>
  </si>
  <si>
    <t>Phone,Online dynamic resources (assessments, videos, webinars, exercises, etc.)</t>
  </si>
  <si>
    <t>Regular internal communications, EAP linked to from communications about linked topics e.g. covid-19</t>
  </si>
  <si>
    <t>unknown</t>
  </si>
  <si>
    <t>From Jan 1 we are implementing a specific mental health benefit via Modern Health</t>
  </si>
  <si>
    <t>Distrust of separation of provider and employer</t>
  </si>
  <si>
    <t>e-mail, wellbeing newsletter, webinars</t>
  </si>
  <si>
    <t>Webinars, talking about mental health</t>
  </si>
  <si>
    <t>LifeWorks</t>
  </si>
  <si>
    <t>2 sessions</t>
  </si>
  <si>
    <t>COVID-19 related support, Remote work challenges</t>
  </si>
  <si>
    <t>Two times per year campaign on mental health.  Through employee resource group promotion when relevant.  Country newsletter marketing as special events are sponsored.</t>
  </si>
  <si>
    <t>Through partnership with employee resource group's representatives in sharing their personal journeys.</t>
  </si>
  <si>
    <t>21% - 50%</t>
  </si>
  <si>
    <t>Unsure.  Need to get more employee insight.</t>
  </si>
  <si>
    <t>Phone,Online dynamic resources (assessments, videos, webinars, exercises, etc.),Virtual counseling visits</t>
  </si>
  <si>
    <t>Global and Regional Wellness Intranet sites, Posters, Through regular activities</t>
  </si>
  <si>
    <t>Training employees and managers to reduce the stigma.</t>
  </si>
  <si>
    <t>Unknown</t>
  </si>
  <si>
    <t>SupportLinc WPS</t>
  </si>
  <si>
    <t>Regular email promotions -  Pages on HR intranet - Benefits Portal</t>
  </si>
  <si>
    <t>Optum - Global Provider</t>
  </si>
  <si>
    <t>Personal issues,Job stress,Relationship issues,Parenting issues,Harassment,Substance abuse,Separation and loss,Balancing work and family,Family violence</t>
  </si>
  <si>
    <t>Benefits microsite and emails</t>
  </si>
  <si>
    <t>ICAS</t>
  </si>
  <si>
    <t>Webinars with the provider &amp; during new hire orientation</t>
  </si>
  <si>
    <t>Raising awareness of the program and the services provided. Also looking at Manager Training.</t>
  </si>
  <si>
    <t>articles, marketing campaigns, focus monitor, posters</t>
  </si>
  <si>
    <t>Communication, leaders meetings, articles, ...</t>
  </si>
  <si>
    <t>Compsych</t>
  </si>
  <si>
    <t>Via our benefits portal and intranet</t>
  </si>
  <si>
    <t>By normalising emotional and mental wellbeing through employee stories and external speakers</t>
  </si>
  <si>
    <t>Guidance Resource</t>
  </si>
  <si>
    <t>Personal issues,Job stress,Relationship issues,Parenting issues,Harassment,Balancing work and family,Family violence,Manager support</t>
  </si>
  <si>
    <t>Intranet, Quarterly HR updates, Annual benefits market</t>
  </si>
  <si>
    <t>Case by case</t>
  </si>
  <si>
    <t>Workplace options</t>
  </si>
  <si>
    <t>newsletters, wellness weeks, slack, induction, webinars, awareness days</t>
  </si>
  <si>
    <t>Employee groups</t>
  </si>
  <si>
    <t>Not sure</t>
  </si>
  <si>
    <t>We now offer a chat function via the EAP's website</t>
  </si>
  <si>
    <t>Wellbeing campaigns internally via workplace, directly to employees via HR.</t>
  </si>
  <si>
    <t>A very strong approach through our Open Up campaign with sponsorship from leadership, as well as ongoing wellbeing weeks highlighting the importance of mental and physical wellbeing. Mental health is very high on the agenda, and mental illness is spoken about openly.</t>
  </si>
  <si>
    <t>We do not have a problem with under utilisation in the UK</t>
  </si>
  <si>
    <t>ICAS International</t>
  </si>
  <si>
    <t>We offer access to Happify and Modern Health, and the latter provides employees with more counseling sessions (12 personal coaching sessions and 10 free therapy sessions per year).</t>
  </si>
  <si>
    <t>Via our intranet and every time there is a specific event, we reinforce the resources available.</t>
  </si>
  <si>
    <t>Open conversations via Wellness groups and listening sessions</t>
  </si>
  <si>
    <t>I don't know</t>
  </si>
  <si>
    <t>Workplace Options</t>
  </si>
  <si>
    <t>Posters and emails</t>
  </si>
  <si>
    <t>Promotion of EAP Service and material</t>
  </si>
  <si>
    <t>1 additional visit</t>
  </si>
  <si>
    <t>Phone,Virtual counseling visits,In-person counseling visits</t>
  </si>
  <si>
    <t>Internal intranet site and via emails</t>
  </si>
  <si>
    <t>Workshops and manager training</t>
  </si>
  <si>
    <t>moved from 6-7 sessions</t>
  </si>
  <si>
    <t>Onsite counselling</t>
  </si>
  <si>
    <t>Newsletters and other employee comms, benefits information portal</t>
  </si>
  <si>
    <t>Offering support, partnering with Employee Resource Groups to organise events to help educate, reduce stigma, storytelling, senior leadership sponsors</t>
  </si>
  <si>
    <t>a mix of lack of awareness, concern re. confidentiality of lack of understanding as to what the benefit offers</t>
  </si>
  <si>
    <t>Training sessions, HR drop ins benefits portal</t>
  </si>
  <si>
    <t>Open communication and dialogue on the subject</t>
  </si>
  <si>
    <t>CompPsych and Zurich</t>
  </si>
  <si>
    <t>10 sessions</t>
  </si>
  <si>
    <t>Slack</t>
  </si>
  <si>
    <t>We just kicked off an autumn wellness campaign</t>
  </si>
  <si>
    <t>Reticence</t>
  </si>
  <si>
    <t>KonTerra</t>
  </si>
  <si>
    <t>Employee support service via Canada Life Group life insurance/income protection</t>
  </si>
  <si>
    <t>Quarterly webinars, EAP orientation, ongoing wellness takeover of company news letters</t>
  </si>
  <si>
    <t>Life Works</t>
  </si>
  <si>
    <t>Mental health improvements</t>
  </si>
  <si>
    <t>Email, Hub content</t>
  </si>
  <si>
    <t>Training</t>
  </si>
  <si>
    <t>An app for mobile phones</t>
  </si>
  <si>
    <t>live chat in the app</t>
  </si>
  <si>
    <t>Bereavement counselling is covered under the Group Life Insurance. Counselling &amp; wellbeing support is offered under the GIP plan.</t>
  </si>
  <si>
    <t>Email
Posts on our internal platform 
Annual benefits fair
Senior members of the organisation promoting the services on regional calls</t>
  </si>
  <si>
    <t>Communication, employee stories</t>
  </si>
  <si>
    <t>Utilising PMI resources</t>
  </si>
  <si>
    <t>Personal issues,Job stress,Relationship issues,Parenting issues,Harassment,Substance abuse,Separation and loss,Balancing work and family,Financial or legal,Family violence</t>
  </si>
  <si>
    <t>Emails</t>
  </si>
  <si>
    <t>all employee meetings, intranet, benefit summaries</t>
  </si>
  <si>
    <t>no impact</t>
  </si>
  <si>
    <t>not required</t>
  </si>
  <si>
    <t>Konterra</t>
  </si>
  <si>
    <t>Email, intranet</t>
  </si>
  <si>
    <t>Workplace Options (WPO)</t>
  </si>
  <si>
    <t>Phone,Text,Online dynamic resources (assessments, videos, webinars, exercises, etc.),Virtual counseling visits</t>
  </si>
  <si>
    <t>Cash allowance for employees to fund their own counseling service</t>
  </si>
  <si>
    <t>Intranet site
Slack
Email</t>
  </si>
  <si>
    <t>Personal issues,Job stress,Childcare,Relationship issues,Parenting issues,Separation and loss,Balancing work and family,Financial or legal</t>
  </si>
  <si>
    <t>Online, on employee resource pages</t>
  </si>
  <si>
    <t>Doesn't want to</t>
  </si>
  <si>
    <t>Morneau Shepell</t>
  </si>
  <si>
    <t>Personal issues,Job stress,Relationship issues,Parenting issues,Substance abuse,Separation and loss,Balancing work and family,Financial or legal,Manager support</t>
  </si>
  <si>
    <t>Through email and website</t>
  </si>
  <si>
    <t>Additional counselling sessions</t>
  </si>
  <si>
    <t>Intranet, webinars, communciations</t>
  </si>
  <si>
    <t>Promoting openness/sharing, campaigns raising awareness.</t>
  </si>
  <si>
    <t>Emotional wellbeing consultations</t>
  </si>
  <si>
    <t>Webinars and stories</t>
  </si>
  <si>
    <t>Campaigns, stories and webinars</t>
  </si>
  <si>
    <t>Monthly emails, company intranet</t>
  </si>
  <si>
    <t>Email, intercompany website, benefits web portal</t>
  </si>
  <si>
    <t>encouraging work/life balance, promoting EAP</t>
  </si>
  <si>
    <t>Online portal/intranet/internal comms</t>
  </si>
  <si>
    <t>personal choice</t>
  </si>
  <si>
    <t>Return to office material. We moved the cap from 8 to 10 sessions, but communicate the plan to be limitless as employees can always go over.</t>
  </si>
  <si>
    <t>Vendor is launching update of their App, depending on the layout we might introduce as well</t>
  </si>
  <si>
    <t>Through email, through slack and in our Employee Group which is focussed on Mental Health. Also when employees start they receive a benefit 101 introduction, where the EAP plan is introduced</t>
  </si>
  <si>
    <t>Depending on the region, we see different utalization</t>
  </si>
  <si>
    <t>We're currenly in the process of creating a wellbeing strategy per region and setting up communications strategies according to this.</t>
  </si>
  <si>
    <t>WPO</t>
  </si>
  <si>
    <t>new hire orientation, benefit summaries, intranet, ERGs</t>
  </si>
  <si>
    <t>more awareness and programming</t>
  </si>
  <si>
    <t>not as strong as our other resources (e.g., Modern Health)</t>
  </si>
  <si>
    <t>email, intranet website, in-person etc.</t>
  </si>
  <si>
    <t>not</t>
  </si>
  <si>
    <t>combination of 'no culture' and not communicated properly</t>
  </si>
  <si>
    <t>24/7 Mental Health Hotline</t>
  </si>
  <si>
    <t>Personal issues,Job stress,Relationship issues,Parenting issues,Harassment,Separation and loss,Balancing work and family,Financial or legal,Manager support</t>
  </si>
  <si>
    <t>Working in partnership with Modern Health - reaching out by email</t>
  </si>
  <si>
    <t>Widespread promotion of associated benefits</t>
  </si>
  <si>
    <t>Paid</t>
  </si>
  <si>
    <t>Forfeited</t>
  </si>
  <si>
    <t>90 days</t>
  </si>
  <si>
    <t>Fully paid</t>
  </si>
  <si>
    <t>Fully unpaid</t>
  </si>
  <si>
    <t>Unpaid</t>
  </si>
  <si>
    <t>14 days</t>
  </si>
  <si>
    <t>1 day</t>
  </si>
  <si>
    <t>Partially paid</t>
  </si>
  <si>
    <t>up to 100% for designated period offset by state</t>
  </si>
  <si>
    <t>18 weeks full pay, followed by 21 weeks equal to Statutory Maternity pay</t>
  </si>
  <si>
    <t>7 days</t>
  </si>
  <si>
    <t>Ordinary maternity,Sick,Bereavement/Funeral</t>
  </si>
  <si>
    <t>12 weeks</t>
  </si>
  <si>
    <t>5 days</t>
  </si>
  <si>
    <t>25 days annual leave per year, plus bank holidays</t>
  </si>
  <si>
    <t>3 months</t>
  </si>
  <si>
    <t>up to a max total of 26 weeks</t>
  </si>
  <si>
    <t>Combined total of 26 weeks paid parental leave for primary caregiver</t>
  </si>
  <si>
    <t>2 weeks</t>
  </si>
  <si>
    <t>20 days</t>
  </si>
  <si>
    <t>3 days</t>
  </si>
  <si>
    <t>By the statutory rate</t>
  </si>
  <si>
    <t>26 weeks</t>
  </si>
  <si>
    <t>Spouse,Domestic partner,Child(ren),Step children,Foster children,Grandchildren,Parent,Parent-in-law,Grandparent-in-law,Brother or sister,Brother or sister-in-law</t>
  </si>
  <si>
    <t>10 days</t>
  </si>
  <si>
    <t>5 Weeks</t>
  </si>
  <si>
    <t>Via payroll</t>
  </si>
  <si>
    <t>28 weeks</t>
  </si>
  <si>
    <t>2 days</t>
  </si>
  <si>
    <t>Must be related to job</t>
  </si>
  <si>
    <t>1 year</t>
  </si>
  <si>
    <t>6 months</t>
  </si>
  <si>
    <t>Yes, some benefits</t>
  </si>
  <si>
    <t>Life Assurance</t>
  </si>
  <si>
    <t>Monthly pay at reducing rates</t>
  </si>
  <si>
    <t>Each case reviewed and approved at company discretion</t>
  </si>
  <si>
    <t>Each case at managers/company discretion</t>
  </si>
  <si>
    <t>We maintain a flexible human approach in each case - where we have bereavement or sensitive employee cases requiring time away, the time on paid vs unpaid leave is assessed as part of each case.</t>
  </si>
  <si>
    <t>We provide 25 days of annual leave + 8 public holidays per calendar year. This is 1 week (5 working days) of paid annual leave above the statutory minimum of 5.6 weeks.</t>
  </si>
  <si>
    <t>31 Dec of the following year.</t>
  </si>
  <si>
    <t>Company-paid Sick Pay varies by length of service, as follows: 3 months or less = Statutory Sick Pay (SSP) only; Between 3 months to 1 year = 4 weeks full pay (incl SSP); Between 1 and 2 years = 8 weeks full pay (incl SSP); 2 years or more = 28 weeks full pay (incl SSP) and a further 24 weeks at 50% pay.</t>
  </si>
  <si>
    <t>refer to Q9.71</t>
  </si>
  <si>
    <t>Spouse,Domestic partner,Child(ren),Step children,Foster children,Parent,Parent-in-law</t>
  </si>
  <si>
    <t>3 working days paid leave for Exam only</t>
  </si>
  <si>
    <t>Must be related to job,Must get pre-approval</t>
  </si>
  <si>
    <t>In reference to Ordinary Maternity Leave &amp; Ordinary Adoption Leave: Although we provide the statutory number of weeks, all 26 weeks are at full pay (we provide a company top-up to the statutory payment).
In reference to Paternity Leave: We provide 26 weeks at full pay, which is 24 weeks above the statutory minimum.</t>
  </si>
  <si>
    <t>28 days per year, however also have unlimited time off plan</t>
  </si>
  <si>
    <t>Employee receives government top-up and are paid full salary on top of the statutory payment</t>
  </si>
  <si>
    <t>Employees receive top-up and so that they get 100% pay for 16 weeks</t>
  </si>
  <si>
    <t>Provide top-up pay for 26 weeks for brith parents; non-birth parents receive top-up salary for 16 weeks</t>
  </si>
  <si>
    <t>3 Months</t>
  </si>
  <si>
    <t>13 Weeks at statutory, 13 weeks unpaid</t>
  </si>
  <si>
    <t>8 Weeks 100%, 8 Weeks 66.67%, 10 Weeks 50%, 13 Weeks at Statutory, 13 Weeks Unpaid</t>
  </si>
  <si>
    <t>Paid in line with contract of employment</t>
  </si>
  <si>
    <t>Up to 20 weeks</t>
  </si>
  <si>
    <t>Must take annual leave</t>
  </si>
  <si>
    <t>Employees with 6 months service at date of birth</t>
  </si>
  <si>
    <t>primary caregiver receives 26 weeks fully paid, secondary caregiver receives 12 weeks fully paid</t>
  </si>
  <si>
    <t>6 weeks leave in a 12 month rolling period</t>
  </si>
  <si>
    <t>This is really only for COVID related caregiving at this time</t>
  </si>
  <si>
    <t>Company tops up to 90% up to week 18</t>
  </si>
  <si>
    <t>90% up to week 18</t>
  </si>
  <si>
    <t>£138.18 or 90% of your average weekly earnings (whichever is lower).</t>
  </si>
  <si>
    <t>Depends on employees service. 0 - 1 year no pay, 1 to 2 years - 4 weeks full pay, 2 to 5 years - 12 weeks full pay, Over 5 years - 28 weeks full pay</t>
  </si>
  <si>
    <t>Reviewed on case by case</t>
  </si>
  <si>
    <t>Pandemic leave
Emergency Leave</t>
  </si>
  <si>
    <t>25 working days</t>
  </si>
  <si>
    <t>no specific length of no pay leave, depdens on needs</t>
  </si>
  <si>
    <t>Child(ren),Step children,Foster children,Grandchildren</t>
  </si>
  <si>
    <t>1 caregiver leave per child</t>
  </si>
  <si>
    <t>26 weeks/year</t>
  </si>
  <si>
    <t>15 days</t>
  </si>
  <si>
    <t>27 days. 25 days increasing by 1 day after 5 years and 1 day after 10 years service</t>
  </si>
  <si>
    <t>Spouse,Domestic partner,Child(ren),Step children,Foster children,Parent,Parent-in-law,Grandparent,Grandparent-in-law</t>
  </si>
  <si>
    <t>12 weeks paid at 100% of regular earnings, the remainder at statutory</t>
  </si>
  <si>
    <t>Paid at statutory rate</t>
  </si>
  <si>
    <t>for six months service and above: 4 weeks at 100% of pay, a further 4 weeks at 75% of pay. for under 6 months service, SSP only.</t>
  </si>
  <si>
    <t>Spouse,Domestic partner,Child(ren),Step children,Foster children,Parent,Grandparent,Brother or sister</t>
  </si>
  <si>
    <t>4 months</t>
  </si>
  <si>
    <t>As per statutory requirements</t>
  </si>
  <si>
    <t>21 days</t>
  </si>
  <si>
    <t>Marriage Leave</t>
  </si>
  <si>
    <t>6 weeks</t>
  </si>
  <si>
    <t>1-20 weeks (100%), 20-24 weeks (50%),</t>
  </si>
  <si>
    <t>25-39 weeks (SMP),40-52 weeks (no pay)</t>
  </si>
  <si>
    <t>same as maternity</t>
  </si>
  <si>
    <t>partially paid, same as maternity</t>
  </si>
  <si>
    <t>domestic partner’s child</t>
  </si>
  <si>
    <t>In addition to paid public holidays, UK employees also get additional paid time off in December.</t>
  </si>
  <si>
    <t>First 12 weeks at 100% of base salary less statutory payments. 13 to 20 weeks: 50% of base salary less statutory payments.</t>
  </si>
  <si>
    <t>Similar to maternity leave</t>
  </si>
  <si>
    <t>Spouse,Domestic partner,Child(ren),Step children,Foster children,Parent,Parent-in-law,Brother or sister</t>
  </si>
  <si>
    <t>tenure - varies from 25-30 days</t>
  </si>
  <si>
    <t>Spouse,Domestic partner,Parent,Any other member of employee's household</t>
  </si>
  <si>
    <t>dependent on tenure - ranges from 4 weeks fully paid up to 26 weeks</t>
  </si>
  <si>
    <t>life assurance if short term</t>
  </si>
  <si>
    <t>25 days leave for the first 4 holiday years, 28 days leave from the 5th holiday year onwards</t>
  </si>
  <si>
    <t>3 months after end of previous holiday year</t>
  </si>
  <si>
    <t>Statutory Maternity Pay only</t>
  </si>
  <si>
    <t>Statutory pay</t>
  </si>
  <si>
    <t>2 days for a pet</t>
  </si>
  <si>
    <t>Pandemic Leave -  We gave 10 days off in 2020 and 5 days off in 2021</t>
  </si>
  <si>
    <t>The first six weeks of maternity leave are paid at 100% of average weekly earnings, The next two weeks are paid at 100% of the employee’s normal base salary, The next 18 weeks at 50% of your normal base salary, Statutory maternity pay for the remaining 13 weeks.</t>
  </si>
  <si>
    <t>Spouse,Domestic partner,Child(ren),Step children,Foster children,Any other member of employee's household</t>
  </si>
  <si>
    <t>Once per year</t>
  </si>
  <si>
    <t>Exam Leave. Moving House Leave.</t>
  </si>
  <si>
    <t>up to six months/y</t>
  </si>
  <si>
    <t>Must get pre-approval</t>
  </si>
  <si>
    <t>year</t>
  </si>
  <si>
    <t>Yes, all benefits</t>
  </si>
  <si>
    <t>Pregnancy Loss</t>
  </si>
  <si>
    <t>Covid Time Off of 20 days which will evolve into Disaster &amp; Epidemic Time Off from 1st Jan 2022</t>
  </si>
  <si>
    <t>26 weeks fully paid to contractual compensation (including Statutory pay), remaining 13 weeks only statutory pay</t>
  </si>
  <si>
    <t>case by case assessment</t>
  </si>
  <si>
    <t>Spouse,Domestic partner,Child(ren),Any other member of employee's household</t>
  </si>
  <si>
    <t>65 working days</t>
  </si>
  <si>
    <t>5 weeks</t>
  </si>
  <si>
    <t>Employees may carry over up to 5 unused days anytime throughout the following year.</t>
  </si>
  <si>
    <t>13 weeks</t>
  </si>
  <si>
    <t>Domestic abuse, sexual assault, and crime victim leave</t>
  </si>
  <si>
    <t>Enhanced paternity,Bereavement/Funeral,Unpaid leave</t>
  </si>
  <si>
    <t>First 14 weeks at full pay and statutory SMP</t>
  </si>
  <si>
    <t>through payroll in line with periods of leave</t>
  </si>
  <si>
    <t>Spouse,Domestic partner,Child(ren),Step children,Foster children,Grandchildren,Parent,Parent-in-law,Brother or sister</t>
  </si>
  <si>
    <t>First 6 weeks at 90%, next 33 weeks at lower of 90% or 151.97 GBP</t>
  </si>
  <si>
    <t>Lower of 90% or 151.97 GBP per week</t>
  </si>
  <si>
    <t>12 months</t>
  </si>
  <si>
    <t>any leave beyond 26weeks is unpaid</t>
  </si>
  <si>
    <t>full pay up to 10 days over 2 years</t>
  </si>
  <si>
    <t>We don't have specific Caregiver policy - however employees can take up to 10 days in a 2 year period to care for family members</t>
  </si>
  <si>
    <t>we don't have a specific policy.  this is at manager's discretion</t>
  </si>
  <si>
    <t>25 days plus bank holidays</t>
  </si>
  <si>
    <t>31st January in the following year</t>
  </si>
  <si>
    <t>statutory pay</t>
  </si>
  <si>
    <t>Accrual of up to 20-25 days based on years of service + 2 floating holidays to take as required + Christmas shutdown of 5 workings days</t>
  </si>
  <si>
    <t>Technically these should be forfeited but I don't recall us doing that, especially given the unique years we are operating in.</t>
  </si>
  <si>
    <t>Statutory only</t>
  </si>
  <si>
    <t>Eligible employees may take up to a total 6 weeks of fully paid Caregiver Leave. Leave is per eligible  family member in a 12 month period. Leave may be taken in one block or taken intermittently.</t>
  </si>
  <si>
    <t>Spouse,Domestic partner,Child(ren),Step children,Foster children,Grandchildren,Parent,Grandparent,Brother or sister</t>
  </si>
  <si>
    <t>10 years</t>
  </si>
  <si>
    <t>5 wellbeing days per year on top of annual leave
Childbonding leave for non-birth parents</t>
  </si>
  <si>
    <t>31st March of the following year</t>
  </si>
  <si>
    <t>First 6 weeks = 90% of normal average weekly earnings. Following 20 weeks = level of SMP set by government.</t>
  </si>
  <si>
    <t>First 13 weeks = level of SMP set by government. After this, nil pay for remaining 13 weeks</t>
  </si>
  <si>
    <t>Statutory rate of pay</t>
  </si>
  <si>
    <t>90% of earnings or rate set by government</t>
  </si>
  <si>
    <t>Full pay for first 13 weeks only, then nil</t>
  </si>
  <si>
    <t>13 weeks of sick pay, after the 26th week, the group income protection policy kicks in and covers 50% of earnings</t>
  </si>
  <si>
    <t>Global Pandemic Leave (10 working days paid) 
First Year Child leave (10 working days paid)</t>
  </si>
  <si>
    <t>In other</t>
  </si>
  <si>
    <t>25 standard, 12 weeks paternity, 6 months maternity, 10 days bereavement, additional PTO days based on length of service to max of 30 days</t>
  </si>
  <si>
    <t>10 days per annum</t>
  </si>
  <si>
    <t>Spouse,Domestic partner,Child(ren),Parent</t>
  </si>
  <si>
    <t>4 weeks</t>
  </si>
  <si>
    <t>5 weeks (25 days) 
This is pro-rated if an employee joins during the year</t>
  </si>
  <si>
    <t>Must be used by 31st March the following year</t>
  </si>
  <si>
    <t>Weeks 1-6:Higher of: 100%base pay; or 90% average weekly earnings calculated over the 8-week period before the 15th week before the week the baby is due. Weeks 7-20:100% base pay. Weeks 21-26: Statutory Maternity pay</t>
  </si>
  <si>
    <t>Weeks 26-39: Statutory Maternity pay. Weeks 40 –52: Unpaid</t>
  </si>
  <si>
    <t>37 weeks of pay</t>
  </si>
  <si>
    <t>180 days</t>
  </si>
  <si>
    <t xml:space="preserve">Ordinary maternity,Enhanced paternity,Adoption </t>
  </si>
  <si>
    <t>First 6 weeks at SMP; enhanced pay of 45% base salary for weeks 7-39 including any entitlement to SMP. Weeks 40-52 are unpaid.</t>
  </si>
  <si>
    <t>Annual/Privilege,Ordinary maternity,Enhanced paternity</t>
  </si>
  <si>
    <t>5 weeks per year</t>
  </si>
  <si>
    <t>16 weeks full base pay</t>
  </si>
  <si>
    <t>3 motnhs</t>
  </si>
  <si>
    <t>18 weeks fully paid</t>
  </si>
  <si>
    <t>18 weeks full pay</t>
  </si>
  <si>
    <t>At manager's discretion</t>
  </si>
  <si>
    <t>At discretion of manager</t>
  </si>
  <si>
    <t>Thank you days off (1 week in August)</t>
  </si>
  <si>
    <t>Allowance depends on length of service:
0-5 years = 24 days 
5-9 years = 25 days
10 years +  = 26 days 
Leave must be taken in the calendar year in which they are accrued. The vacation year runs from January 2st through December 31st.</t>
  </si>
  <si>
    <t>1 week w/o certification and full pay 26 weeks</t>
  </si>
  <si>
    <t>5.2 weeks</t>
  </si>
  <si>
    <t>By March 31 of the following year</t>
  </si>
  <si>
    <t>Considered on a discretionary basis</t>
  </si>
  <si>
    <t>1 month</t>
  </si>
  <si>
    <t>Employees can take up to 52 weeks of shared parental leave, minus any maternity or adoption leave already taken by you or your partner. 26 weeks are fully paid</t>
  </si>
  <si>
    <t>26 weeks fully paid, 26 weeks additional adoption leave paid at statutory or unpaid</t>
  </si>
  <si>
    <t>13 weeks fully paid</t>
  </si>
  <si>
    <t>28 days</t>
  </si>
  <si>
    <t>If you have zero - two years of service you will receive:  The first four weeks at full pay, and a further four weeks at half pay. If you are still sick from week 9 - 26 you will not receive any pay. You will qualify for statutory sick pay. If at week 26 you are still sick you will transfer onto the Long Term Sickness plan, where you will receive 65% of your salary.  If you have more than two years of service you will receive:  The first 13 weeks full pay, and further 13 weeks half pay. At week 26 you will transfer onto the Long Term Sickness plan where you will receive 65% of your salary.</t>
  </si>
  <si>
    <t>26 weeks maximum</t>
  </si>
  <si>
    <t>death in the family</t>
  </si>
  <si>
    <t>25 days increasing to max. 30 days with tenure</t>
  </si>
  <si>
    <t>31st March following year</t>
  </si>
  <si>
    <t>5 weeks; + extra 3 days over 5 years' service</t>
  </si>
  <si>
    <t>4 weeks in 1 year period</t>
  </si>
  <si>
    <t>Friend</t>
  </si>
  <si>
    <t>Executives</t>
  </si>
  <si>
    <t>5 weeks (25 working days per year)</t>
  </si>
  <si>
    <t>31st March</t>
  </si>
  <si>
    <t>Executives,Managers,Non-executives or non-managers,Sales,Factory employees</t>
  </si>
  <si>
    <t>FT employees working 37.5 hrs per week are entitled to 25 days annual leave and 8 days public holiday.  Those working 40.3 hrs are entitled to 26 days annual leave including bank holidays.  if your contract is less than 37.5 hours per week, an annual leave entitlement is prorata based on employee's weekly hours.</t>
  </si>
  <si>
    <t>by 30th April otherwise they will be lost</t>
  </si>
  <si>
    <t>13 wks full paid and 13 wks partially paid</t>
  </si>
  <si>
    <t>90% of employee's average weekly earnings</t>
  </si>
  <si>
    <t>Spouse,Domestic partner,Child(ren),Step children,Foster children</t>
  </si>
  <si>
    <t>Spouse,Domestic partner,Child(ren),Step children,Foster children,Parent,Parent-in-law,Grandparent,Grandparent-in-law,Brother or sister</t>
  </si>
  <si>
    <t>employees with less than 4 years tenure get 24 days, employees with more than 4 years tenure get 28 days annual leave per year</t>
  </si>
  <si>
    <t>depends on length of service</t>
  </si>
  <si>
    <t>If more than 1 years service then maternity leave is paid for 39 weeks @ 6 weeks at 100% of average gross weekly pay and a further 33 weeks at 50% of average weekly basic pay</t>
  </si>
  <si>
    <t>Statutory payment terms</t>
  </si>
  <si>
    <t>Same as SMP/Enhanced Maternity pay</t>
  </si>
  <si>
    <t>Paid company holidays
unpaid time off to care for dependants</t>
  </si>
  <si>
    <t>employees have unlimited time off. They can take the time they need</t>
  </si>
  <si>
    <t>hourly employees is 16 weeks. Salaried can decide for themselves</t>
  </si>
  <si>
    <t>People can take the time they need to take care of their family, although we do expect that they work to a long term solution if that is needed</t>
  </si>
  <si>
    <t>paid or unpaid, depends on the length and situation</t>
  </si>
  <si>
    <t>paid or unpaid depending on the need</t>
  </si>
  <si>
    <t>All full time and part time employees are immediately eligible for ten (10) paid sick days. Anything beyond 10 days, employees would need to apply for Statutory Sick Pay SSP</t>
  </si>
  <si>
    <t>(5) days paid time off per year for employees who experience a death in their immediate family and three (3) days off from work for extended family to grieve their loss. Immediate family members include parents, spouse, or child(ren). Extended family includes siblings, grandparents, parents-in-law, grandparents-in-law, or grandchildren.</t>
  </si>
  <si>
    <t>pandemic/natural disaster leave - 30 days paid</t>
  </si>
  <si>
    <t>"Weeks 1- 16 Full pay Weeks 17 -26 50% of employees basic salary) Weeks 27 - 39 SMP Weeks 40-52 Unpaid  Return to work payment -</t>
  </si>
  <si>
    <t>week 1 -16 100% basic Week 17 to Week 26 50% basic pay week 27 to 39 Statutory</t>
  </si>
  <si>
    <t>Pandemic Care Leave</t>
  </si>
  <si>
    <t>Healthscreening</t>
  </si>
  <si>
    <t>Family insurance (spouse/partner/child: life, disability, critical illness, etc.),Cycle to work</t>
  </si>
  <si>
    <t>Legal services (e.g., will writing),Cycle to work</t>
  </si>
  <si>
    <t>Childcare vouchers</t>
  </si>
  <si>
    <t>Health screening,Family insurance (spouse/partner/child: life, disability, critical illness, etc.),Cycle to work</t>
  </si>
  <si>
    <t>Cycle to work</t>
  </si>
  <si>
    <t>Health screening,Cycle to work,Discount products,Other</t>
  </si>
  <si>
    <t>Gym Membership</t>
  </si>
  <si>
    <t>Cancer Support</t>
  </si>
  <si>
    <t>Cycle to work,Discount products</t>
  </si>
  <si>
    <t>Health screening,Menopause support or benefits,Family insurance (spouse/partner/child: life, disability, critical illness, etc.),Cycle to work,Discount products</t>
  </si>
  <si>
    <t>Health screening,Cancer screening,Cycle to work</t>
  </si>
  <si>
    <t>Fitness Allowance</t>
  </si>
  <si>
    <t>Family insurance (spouse/partner/child: life, disability, critical illness, etc.),Cycle to work,Other</t>
  </si>
  <si>
    <t>Financial Planning Service</t>
  </si>
  <si>
    <t>Health screening,Legal services (e.g., will writing),Family insurance (spouse/partner/child: life, disability, critical illness, etc.),Cycle to work,Discount products</t>
  </si>
  <si>
    <t>Health screening,Cycle to work</t>
  </si>
  <si>
    <t>Health screening,Menopause support or benefits,Cycle to work,Discount products</t>
  </si>
  <si>
    <t>Dental and vision</t>
  </si>
  <si>
    <t>Health screening,Legal services (e.g., will writing),Cycle to work</t>
  </si>
  <si>
    <t>Health screening,Legal services (e.g., will writing),Family insurance (spouse/partner/child: life, disability, critical illness, etc.),Cycle to work,Other</t>
  </si>
  <si>
    <t>Travel insurance, Gym discount platform, restaurant cards</t>
  </si>
  <si>
    <t>Health screening,Cancer screening,Cycle insurance,Family insurance (spouse/partner/child: life, disability, critical illness, etc.),Cycle to work,Discount products,Other</t>
  </si>
  <si>
    <t>Childcare vouchers; personal travel insurance; gym membership; wellbeing spending account</t>
  </si>
  <si>
    <t>Cycle to work,Other</t>
  </si>
  <si>
    <t>Donation Matching &amp; Volunteering paid time off</t>
  </si>
  <si>
    <t>Legal services (e.g., will writing)</t>
  </si>
  <si>
    <t>Taste Card and Gourmet Card, Critcal Illness, Season Ticket Loans and Gym Flex</t>
  </si>
  <si>
    <t>Subsidized meals,Workplace canteens,Onsite fitness center,Employee Assistance Program (EAP),Home office benefits</t>
  </si>
  <si>
    <t>Onsite canteen providing fully subsidised meals</t>
  </si>
  <si>
    <t>Workplace canteen providing fully subsidised meals</t>
  </si>
  <si>
    <t>Onsite gym</t>
  </si>
  <si>
    <t>Additional payment made to employees through Covid lockdown to cover home office expenses</t>
  </si>
  <si>
    <t>where available</t>
  </si>
  <si>
    <t>discounted rates</t>
  </si>
  <si>
    <t>through Bright Horizons</t>
  </si>
  <si>
    <t>manger approved up to 4,000 USD - job related</t>
  </si>
  <si>
    <t>given based on increments of 5 years service</t>
  </si>
  <si>
    <t>5 to 50 years in 5-year increments</t>
  </si>
  <si>
    <t>varies</t>
  </si>
  <si>
    <t>under review</t>
  </si>
  <si>
    <t>Employee Assistance Program (EAP),Employee share plan (ESPP)</t>
  </si>
  <si>
    <t>Employees have the opportunity to buy shares with discount through regular payroll deductions</t>
  </si>
  <si>
    <t>Employees may purchase shares</t>
  </si>
  <si>
    <t>only 5 employees in UK - no fringe benefits</t>
  </si>
  <si>
    <t>IncentFit allowance of $50 per month</t>
  </si>
  <si>
    <t>Grayce caregiver virtual / online support</t>
  </si>
  <si>
    <t>Education Assistance Program</t>
  </si>
  <si>
    <t>ESPP offered twice annually for 6 months, RSU offered upon hire</t>
  </si>
  <si>
    <t>Awarded to employees for free,Employees may purchase shares</t>
  </si>
  <si>
    <t>4 years</t>
  </si>
  <si>
    <t>BYOD expense reimbursement dependent on role</t>
  </si>
  <si>
    <t>Covid-19 additional home office set up</t>
  </si>
  <si>
    <t>Rocket Lawyer free legal online / virtual services. Company paid membership fee.
Maven family formation benefit, virtual expert assistance &amp; wallet reimbursement for fertility, adoption and surrogacy.</t>
  </si>
  <si>
    <t>Employee Assistance Program (EAP),Tuition assistance,Transportation (other than company car)</t>
  </si>
  <si>
    <t>Reimbursement up to £1750 for approved educational courses related to the job per calendar year.</t>
  </si>
  <si>
    <t>Workplace canteens,Employee Assistance Program (EAP),Employee share plan (ESPP),Service awards</t>
  </si>
  <si>
    <t>Each site has a subsidized canteen</t>
  </si>
  <si>
    <t>Employee buy company shares at 15% discount</t>
  </si>
  <si>
    <t>An extra days holiday after 5/10/15/20/25 maximum 25 days</t>
  </si>
  <si>
    <t>Relocation assistance,Fitness or gym membership,Childcare,Employee share plan (ESPP),Other offering to remote workers</t>
  </si>
  <si>
    <t>Dependent on case - managed by third party relocation specialists</t>
  </si>
  <si>
    <t>Reimbursement for qualifying expenses - gym memberships, classes or team fees</t>
  </si>
  <si>
    <t>Childcare vouchers offered to employees</t>
  </si>
  <si>
    <t>Purchase of stock on designated purchase dates at a discounted price through the Employee Stock Purchase Plan</t>
  </si>
  <si>
    <t>Monthly allowance to cover cost of working from home</t>
  </si>
  <si>
    <t>Subsidized meals,Employee Assistance Program (EAP),Employee share plan (ESPP),Service awards</t>
  </si>
  <si>
    <t>At each service anniversary, the employee receives: an E-card, a link to a personalized message board where team members are invited to write personal congratulatory messages, a commemorative Service Anniversary Badge and Points that can be redeemed for gifts via our recognition platform.</t>
  </si>
  <si>
    <t>5-year milestone (5, 10, 15, 20, etc)</t>
  </si>
  <si>
    <t>Relocation assistance,Subsidized meals,Employee Assistance Program (EAP),Employee share plan (ESPP),Home office benefits</t>
  </si>
  <si>
    <t>Employees are provided a meal allowance to purchase meals</t>
  </si>
  <si>
    <t>Employees can purchase stock at a discount of 15% or more through payroll contributions</t>
  </si>
  <si>
    <t>Employees can expense up to 100 GBP and new employees receive a once-off stipend of 400 GBP</t>
  </si>
  <si>
    <t>Employee Assistance Program (EAP),Service awards</t>
  </si>
  <si>
    <t>Service Awards provided at milestones anniversaries in 5-year increments.</t>
  </si>
  <si>
    <t>5-year increments</t>
  </si>
  <si>
    <t>Workplace canteens,Employee Assistance Program (EAP),Tuition assistance,Employee share plan (ESPP),Service awards</t>
  </si>
  <si>
    <t>On site canteen and coffee shop 50% subsidy</t>
  </si>
  <si>
    <t>Company sponsored continuing education on successful application.  Claw back policy should employee leave after completion.</t>
  </si>
  <si>
    <t>Employees contribute to the plan through a payroll deduction, employees can purchase stock at a discounted price.</t>
  </si>
  <si>
    <t>Employee's are issued points in a platform called Celebrate.  Points are issued based on years service and can by used to purchase goods from the shops that are signed up with Celebrate.</t>
  </si>
  <si>
    <t>1, 3, 5, 10, 15, 20, 25, 30, 35, 40, 45, 50</t>
  </si>
  <si>
    <t>Mobility team will assist with your relocation, relocation costs covered and set up costs also covered</t>
  </si>
  <si>
    <t>There are snacks provided in all our offices</t>
  </si>
  <si>
    <t>we have a £100 wellness reimbursement per month in which employees can use for their gym membership</t>
  </si>
  <si>
    <t>During covid a temporary back up child care policy was created. All full and part-time employees (working 20+ hours) will be eligible for reimbursement of up to an equivalent of $100/day for a maximum of 5 days per month (for dependents up to age 18) for in-person care for children, and, effective February 1, 2021, for parents or grandparents who are related to you (or your spouse/domestic partner).</t>
  </si>
  <si>
    <t>All full and part-time employees (working 20+ hours) will be eligible for reimbursement of up to an equivalent of $100/day for a maximum of 5 days per month (for dependents up to age 18) for in-person care for children, and, effective February 1, 2021, for parents or grandparents who are related to you (or your spouse/domestic partner).</t>
  </si>
  <si>
    <t>Employees and new hires are only allowed to enroll in ESPP during open enrollment in May and November. you can contribute a maximum of 15% of your salary each month</t>
  </si>
  <si>
    <t>employees receive trophy on the 3,5,10,15,20 year award along with up to 300USD to donate to charity of their choice.</t>
  </si>
  <si>
    <t>3,5,10,15,20 year</t>
  </si>
  <si>
    <t>One off 250GBP to set up your home office</t>
  </si>
  <si>
    <t>Employee Assistance Program (EAP),Backup childcare,Wireless device subsidy,Internet subsidy,Home office benefits,Transportation (other than company car),Other</t>
  </si>
  <si>
    <t>Backup Care: Access to vetted and subsidized care for your loved ones when your regular care is not available. Use Backup Care for school closures, last-minute sitter cancellations, and more. 
10 days of Backup Care days/year 
Backup Care co-pays are as follows: 
€5/hour for in-home care</t>
  </si>
  <si>
    <t>$50 per month toward cell phone expenses</t>
  </si>
  <si>
    <t>$50 per month reimbursement of internet expenses</t>
  </si>
  <si>
    <t>reimbursement of supplies and equipment for employees to set up what they need in their homes to be successful working remotely.</t>
  </si>
  <si>
    <t>amount paid from 5 years service, amount differs depending on year of service</t>
  </si>
  <si>
    <t>5, 10,15,20,25</t>
  </si>
  <si>
    <t>1st, 3rd and 5th</t>
  </si>
  <si>
    <t>1,5,10 year anniversary</t>
  </si>
  <si>
    <t>Relocation assistance,Workplace canteens,Employee Assistance Program (EAP),Employee share plan (ESPP),Service awards,Internet subsidy</t>
  </si>
  <si>
    <t>depedent on person</t>
  </si>
  <si>
    <t>10, 15, 20, 25 +</t>
  </si>
  <si>
    <t>Short and Long-Term Assignments supported. Offerings include relocation cost, temporary housing, tax consultancy, etc., provided by lump-sum or re-imbursement.</t>
  </si>
  <si>
    <t>Re-imbursement provided for local gym membership cost</t>
  </si>
  <si>
    <t>Health checks paid for twice per year.</t>
  </si>
  <si>
    <t>Provide support to employees who wish to undertake a course of study that will develop skills to the benefit of the company.</t>
  </si>
  <si>
    <t>Recognize employees with a monetary award for their years of service.</t>
  </si>
  <si>
    <t>2,5,10,15,20,25 years: paid as cash through payroll of  £32, £60, £106, £200, £400, £700 and £800 respectively.  P11D Taxable benefit paid by the Company</t>
  </si>
  <si>
    <t>Convenience (snacks, haircuts, dry cleaning, etc.),Employee Assistance Program (EAP),Employee share plan (ESPP),Home office benefits,Other offering to remote workers</t>
  </si>
  <si>
    <t>Snacks provided in the office</t>
  </si>
  <si>
    <t>RSUs for employees in non-sales roles. ESPP plan with 6-month lookback, max 15% of net pay, available to all permanent employees.</t>
  </si>
  <si>
    <t>See above</t>
  </si>
  <si>
    <t>Both</t>
  </si>
  <si>
    <t>During the pandemic, USD 150 equivalent available to all employees for home office equipment</t>
  </si>
  <si>
    <t>500 usd equivalent one-off expense reimbursement for the purchase of home office supplies</t>
  </si>
  <si>
    <t>meal £3 in work canteen - cooked meal + pudding</t>
  </si>
  <si>
    <t>Main site has a workplace canteen with hot and cold meal options</t>
  </si>
  <si>
    <t>Company pays 50% of gym membership up to £500</t>
  </si>
  <si>
    <t>Assistance towards work related degree courses</t>
  </si>
  <si>
    <t>Employees can use up to 15% of salary to purchase company shares at discounted price; employee's also granted share dependent on level and need to retain</t>
  </si>
  <si>
    <t>Recognition provided every 5 years</t>
  </si>
  <si>
    <t>Every 5 years</t>
  </si>
  <si>
    <t>we have on site restaurant and cafeteria</t>
  </si>
  <si>
    <t>We have a reimbursement program that reimburses employees for certain categories such as wellness, child care, elder care, pet care, house cleaning, financial planning,etc.</t>
  </si>
  <si>
    <t>We have an onsite Gym</t>
  </si>
  <si>
    <t>Covered under reimbursement program, as described in Q11.19.</t>
  </si>
  <si>
    <t>Under our Private medical plan we provide an annual fund of £350 to be used for medical checkups, cancer screening etc</t>
  </si>
  <si>
    <t>Covered under reimbursement program, as described in Q11.19</t>
  </si>
  <si>
    <t>We have an Employee Stock Purchase Plan (ESPP). This provides  with the opportunity to become a shareholder in the company by purchasing stock at a 10% discount.</t>
  </si>
  <si>
    <t>Employees may expense up to USD $1000 USD or local currency equivalent for necessary home office items.</t>
  </si>
  <si>
    <t>Adoption &amp; Fertility Assistance</t>
  </si>
  <si>
    <t>Workplace canteens,Onsite fitness center,Employee Assistance Program (EAP),Tuition assistance,Service awards</t>
  </si>
  <si>
    <t>On site catering - hot and cold options - funded by team members</t>
  </si>
  <si>
    <t>Center offering on site classes - paid for by team member via payroll deductions</t>
  </si>
  <si>
    <t>contribution towards relevant to role course - must be approved in advance</t>
  </si>
  <si>
    <t>5 years  - 10 years - 15 years 20 years</t>
  </si>
  <si>
    <t>There's no policy. Employees have access to food to purchase themselves without company subsidy</t>
  </si>
  <si>
    <t>Free fruit and soft drinks available in offices</t>
  </si>
  <si>
    <t>Employees can have access to a free healthcheck (currently suspended due to COVID)</t>
  </si>
  <si>
    <t>Employees can purchase stock at a 15% discount of the open market value. Twice a year election period.</t>
  </si>
  <si>
    <t>Service awards are given every 4 years</t>
  </si>
  <si>
    <t>4, 8, 12, 16, 20 years</t>
  </si>
  <si>
    <t>Workplace canteens,Fitness or gym membership,Employee Assistance Program (EAP),Tuition assistance</t>
  </si>
  <si>
    <t>Subsided</t>
  </si>
  <si>
    <t>Eligible fitness expenses with be reimbursed annually</t>
  </si>
  <si>
    <t>Relocation assistance,Onsite fitness center,Employee Assistance Program (EAP),Employee share plan (ESPP),Service awards,Home office benefits,Other offering to remote workers</t>
  </si>
  <si>
    <t>all the employees who needed to be relocated for business/work reason</t>
  </si>
  <si>
    <t>All employees are eligible to participate to share plan policy.</t>
  </si>
  <si>
    <t>every 5 years starting from the hire date each employees will receive a recognition through an internal system and they can select a premium into the portal</t>
  </si>
  <si>
    <t>every 5 years</t>
  </si>
  <si>
    <t>the Company provides all the  equipment to allow the employee work from home (IT, chairs,...)</t>
  </si>
  <si>
    <t>Covered under our Wellness Reimbursement policy of $600 per year</t>
  </si>
  <si>
    <t>Employee Share Purchase Plan (ESPP)</t>
  </si>
  <si>
    <t>Awards given in 5 year increments</t>
  </si>
  <si>
    <t>From 5 years, for every further five years</t>
  </si>
  <si>
    <t>Can claim up to $15 per month</t>
  </si>
  <si>
    <t>Learning Fund of $10,000 per year and Professional Development reimbursement of $1,000 per year</t>
  </si>
  <si>
    <t>Reimbursement of GBP 20 per month</t>
  </si>
  <si>
    <t>Childcare vouchers - tax benefit</t>
  </si>
  <si>
    <t>Regular employees working more than 20 hours a week are entitled to to purchase shares through a process of payroll deductions. Shares are purchased at a discount to the market value at the time of purchase. (two offering periods per year)</t>
  </si>
  <si>
    <t>help with the cost of continuing education in subjects related to current position or career development</t>
  </si>
  <si>
    <t>Recharge Days, Adoption &amp; Surrogacy Assistance.</t>
  </si>
  <si>
    <t>Workplace canteens,Convenience (snacks, haircuts, dry cleaning, etc.),Fitness or gym membership,Annual medical checkup,Employee Assistance Program (EAP),Childcare,Backup childcare,Eldercare,Other family friendly benefit,Funeral ceremony expense assistance,Internet subsidy,Other offering to remote workers,Transportation (other than company car)</t>
  </si>
  <si>
    <t>Breakfast, lunch and dinner catered onsite</t>
  </si>
  <si>
    <t>Onsite hair,nails (run by facilities team, employee self pay),  Laundry Allowance 40 GBP per month into salary</t>
  </si>
  <si>
    <t>530 GBP per year on wellness related activities. Benefit will end as a standalone benefit in Dec 2021. New Choice benefit launching in 2022 which is a reimbursement for eligible expenses that support employees physical, mental and financial well-being or care for their family.</t>
  </si>
  <si>
    <t>We offer annual onsite health checks for all employees</t>
  </si>
  <si>
    <t>Daycare Allowance of 2,500 GBP per annum for employees with children under 5. Note: this standalone benefit will end at the end of 2021 and a new Choice benefit will launch in 2022 which will cover a broader range of choice (childcare/eldercare/pet/wellness etc).</t>
  </si>
  <si>
    <t>Surrogacy Assistance Program: Reimburses 100% of eligible expenses, up to 14,300 GBP per lifetime
Adoption Assistance Program: Reimburses 100% of eligible expenses, up to £7,100 per adopted child.
Babycash - The baby cash benefit is £2,000 for single births and £3,500 for multiples to help with any baby-related expenses
New Choice Benefit - Launching 1 Jan 2022 will replace current wellness/gym benefit and daycare benefit.  Eligible expenses can be reimbursed up to £2,700 accross a range of physical,mental and financial wellbeing or care for family members including, child care &amp; child enrichment 
Rethink - Rethink helps families caring for a child with learning, social, or behavioral challenges. Access to up to 14 hours of one-on-one consultations with highly-trained learning and behavioral therapists via video chat or phone</t>
  </si>
  <si>
    <t>The beneficiary receives a one-time lump-sum payment of 24,900 GBP when an employee passes away. The money can be used for whatever is needed following an employees  passing, such as help with funeral costs, travel for family members or caregiving help</t>
  </si>
  <si>
    <t>Employees can claim up to 75 USD per month while working remotely during covid.</t>
  </si>
  <si>
    <t>Employees can request to work remotely full-time if you’re a full-time or part-time employee, meet specific performance criteria and the company determines the nature of your role can be performed remotely. 
All levels and orgs are eligible to request remote work; however, within orgs, there are some roles that cannot be done remotely due to the nature of the work. Examples: culinary, security and reception.
Remote Work Startup: One-time taxable cash benefit of $2,000 USD (or equivalent) to support the creation and set up of home office (desk, chair, storage and so on) 
Remote Work Services: To help maintain home office,  $1,100 USD (or equivalent) each year to purchase general office supplies
Internet reimbursement of up to $75 USD (or equivalent) per month through Concur.</t>
  </si>
  <si>
    <t>Financial Wellbeing  Online Platform: Provide employees with a smart online solution that offers education and individual coaching to help employees make better financial decisions for them and their loved ones.
Financial Planning: Free initial consultation with City Capital Financial Planing
Legal help : Free initial consultation with Rocket Lawyer
Mortgage Consultations: Partnership with Charles Cameron &amp; Associates
Cancer Care Support: We’ve partnered with Reframe to offer Cancer Care Support, which helps employees and their loved ones get the right cancer support via and Information Line/Treatment Support/Second Opinion
Business &amp; Personal Travel Medical Insurance</t>
  </si>
  <si>
    <t>Employees are provided with breakfast and lunch every day.</t>
  </si>
  <si>
    <t>Snacks are available throughout the day for everyone.</t>
  </si>
  <si>
    <t>We provide a wellness allowance of GBP 720 so employees can purchase their items for fitness purposes.</t>
  </si>
  <si>
    <t>We provide employees with two different allowances for their home office setup. These are lifetime allowance which means that it won't be given it again if it is all spent.</t>
  </si>
  <si>
    <t>Our Flexible Work program allows employees to have the flexibility to work from approved locations.
Part-time or ad-hoc WFH from your current location
Full-time WFH from your current location
Permanent / long-term location change
Temporary / short-term location change</t>
  </si>
  <si>
    <t>3 years</t>
  </si>
  <si>
    <t>cash net bonus 25 years; £200  30 years; £300 40 years; £400
Lunch - On site or lunch at local restaurant for colleagues / close family</t>
  </si>
  <si>
    <t>25 30 40</t>
  </si>
  <si>
    <t>Fitness or gym membership,Annual medical checkup,Employee Assistance Program (EAP),Tuition assistance,Service awards,Wireless device subsidy,Transportation (other than company car)</t>
  </si>
  <si>
    <t>Up to equivalent of $500 USD reimbursement per year.</t>
  </si>
  <si>
    <t>Every other year, a lifestyle health assessment at Nuffield facility.</t>
  </si>
  <si>
    <t>Up to the equivalent of $15K USD per year is reimbursed.</t>
  </si>
  <si>
    <t>Provide points at certain anniversary and these can be used by employee to purchase gifts from an online store.</t>
  </si>
  <si>
    <t>3, 5, 7, 10, 15 and every 5 years after 15th aniiversary.</t>
  </si>
  <si>
    <t>Every employee is provided a cell phone purchased by the company.</t>
  </si>
  <si>
    <t>Access to onsite cafeteria</t>
  </si>
  <si>
    <t>Onsite gym in main head office only</t>
  </si>
  <si>
    <t>Access to choice of gym memberships through flex benefits plan</t>
  </si>
  <si>
    <t>Access to health checks through flex benefits</t>
  </si>
  <si>
    <t>10 sessions of back-up care</t>
  </si>
  <si>
    <t>10 sessions of eldercare per year (part of backup care programme)</t>
  </si>
  <si>
    <t>up to £4300 reimbursed per year on completion of eligible courses.  No clawback.  Pass grade required.</t>
  </si>
  <si>
    <t>Employees able to purchase employee shares at discounted rate</t>
  </si>
  <si>
    <t>cash awards in annual increments</t>
  </si>
  <si>
    <t>5, 10, 15, 20, 25, 30</t>
  </si>
  <si>
    <t>Life &amp; Wellness Account - reimbursement for eligible wellbeing related expenses</t>
  </si>
  <si>
    <t>Relocation assistance,Employee Assistance Program (EAP)</t>
  </si>
  <si>
    <t>For those employees who relocate country to take up a new role</t>
  </si>
  <si>
    <t>stocked fridges</t>
  </si>
  <si>
    <t>access to fruit, snacks and beverages</t>
  </si>
  <si>
    <t>Bright Horizons</t>
  </si>
  <si>
    <t>15% discount and company RSU plan</t>
  </si>
  <si>
    <t>once of reimbursement of $500 for home office which includes any wireless devices needed</t>
  </si>
  <si>
    <t>reclaim via expenses</t>
  </si>
  <si>
    <t>$500 once off reimbursement for chair, desk, peripherals</t>
  </si>
  <si>
    <t>Employee Stock Purchase Plan (ESPP)
Six-month Offering Periods between May - November
Contributions up to 15% of salary for regular employees with at least one month of service
Purchase Price of 85%, the lower of closing price at beginning or end of Offering Period</t>
  </si>
  <si>
    <t>Our company provides awards to employees who reach significant service milestone to recognize all of their contributions - past, present and future</t>
  </si>
  <si>
    <t>Service awards begin at five years of service, and employees receive an award for every additional five years of service completed.</t>
  </si>
  <si>
    <t>For those working permanently from home</t>
  </si>
  <si>
    <t>Based on various factors but must be internaitonal</t>
  </si>
  <si>
    <t>Free</t>
  </si>
  <si>
    <t>None of the above</t>
  </si>
  <si>
    <t>10% of base salary</t>
  </si>
  <si>
    <t>Home office set up</t>
  </si>
  <si>
    <t>This policy supports employees that are making internal transfers to other regions/countries</t>
  </si>
  <si>
    <t>A range of snacks and refreshments are available in the office kitchen areas for employees to enjoy.</t>
  </si>
  <si>
    <t>Customary employment is 20 hours or more per week and for more than 5 months per calendar year</t>
  </si>
  <si>
    <t>Employees may purchase shares,Other, please specify</t>
  </si>
  <si>
    <t>Equity included as part of employment contract</t>
  </si>
  <si>
    <t>Eligible employees are allowed to submit a reimbursement up to 550 Euros or equivalent through Concur for device purchase every 30 months and will be charged to employee’s cost centre</t>
  </si>
  <si>
    <t>The home office allowance provides remote workers (and full-time employees or interns that are required to work remotely during the COVID-19 pandemic) with the opportunity to purchase additional equipment to create a comfortable working environment at home.</t>
  </si>
  <si>
    <t>Remote workers (and full-time employees or interns that are required to work remotely during the COVID-19 pandemic)</t>
  </si>
  <si>
    <t>Up to £35.00 per month towards the cost of membership of a Health Club.</t>
  </si>
  <si>
    <t>Company internal policy.</t>
  </si>
  <si>
    <t>Immediate for the shares purchased by the employees and 4 years for the shares awarded.</t>
  </si>
  <si>
    <t>Points redeemable for merchandise or gift cards.</t>
  </si>
  <si>
    <t>1, 3, 5, 10 and every 5 years thereafter.</t>
  </si>
  <si>
    <t>Employee Assistance Program (EAP)</t>
  </si>
  <si>
    <t>15% discount on the lowest share price at start or end of savings period. Up to 10% salary contribution. Employees can opt in every six months for the particular savings period. Ability to withdraw savings at any time for share purchase.</t>
  </si>
  <si>
    <t>Equivalent of USD 500 stipend on joining (one off) to set up a home office. Ergonomic furniture available for specific cases (ad hoc)</t>
  </si>
  <si>
    <t>Anyone has the option to work from home, and can also request relocation to another country if supported by business (if business requirements allow).</t>
  </si>
  <si>
    <t>Virgin Pulse for all employees globally</t>
  </si>
  <si>
    <t>Onsite fitness center,Employee Assistance Program (EAP),Tuition assistance</t>
  </si>
  <si>
    <t>Subsidized meals,Workplace canteens,Convenience (snacks, haircuts, dry cleaning, etc.),Employee Assistance Program (EAP),Employee share plan (ESPP),Home office benefits,Transportation (other than company car)</t>
  </si>
  <si>
    <t>Free breakfast and lunch onsite only</t>
  </si>
  <si>
    <t>Free breakfast and lunch</t>
  </si>
  <si>
    <t>Free snacks onsite</t>
  </si>
  <si>
    <t>Restricted Stock Units (RSUs) granted to all permanent employees. Value of RSUs granted varies based on role.</t>
  </si>
  <si>
    <t>Awarded to employees for free</t>
  </si>
  <si>
    <t>One time $2,500 stipend for remote workers</t>
  </si>
  <si>
    <t>Cash and concierge assistance for relocating employees by job level</t>
  </si>
  <si>
    <t>Breakfast and lunch available in offices, dinner available in some offices</t>
  </si>
  <si>
    <t>Onsite fitness center available</t>
  </si>
  <si>
    <t>Backup childcare available</t>
  </si>
  <si>
    <t>Awarded at manager discretion</t>
  </si>
  <si>
    <t>Where required due to COVID-19 home working</t>
  </si>
  <si>
    <t>One-time cash allowance for home office</t>
  </si>
  <si>
    <t>Remote working available pending approval</t>
  </si>
  <si>
    <t>Pending approval</t>
  </si>
  <si>
    <t>ESPP</t>
  </si>
  <si>
    <t>For every milestone employee gets different cash voucher on internal platform</t>
  </si>
  <si>
    <t>5, 10, 15, 20, 25, 30, 35, over 40</t>
  </si>
  <si>
    <t>Different during covid but up to manager's decision.</t>
  </si>
  <si>
    <t>Monthly contribution (only for part of the population - currently being grandfathered)</t>
  </si>
  <si>
    <t>10 days per employee, per year, full cost covered by employer</t>
  </si>
  <si>
    <t>Up to 10% salary deduction to purchase shares at 15% discount on fair market value</t>
  </si>
  <si>
    <t>Awards at every 5 yr anniversary</t>
  </si>
  <si>
    <t>Nothing different</t>
  </si>
  <si>
    <t>5, 10, 15, 20, 25, 30, 35 etc.</t>
  </si>
  <si>
    <t>Employee Assistance Program (EAP),Tuition assistance,Employee share plan (ESPP),Internet subsidy,Home office benefits</t>
  </si>
  <si>
    <t>Tuition Assistance program to employees who wish to continue their education in order to secure increased responsibility and growth within their professional careers. An accredited institution of recognized standing must sponsor the course of program of study. The course must be directly related to the employee's current field of work and its successful completion can realistically be expected to enhance the employee's career goals and objectives or the course must be required for a degree or certificate program that is directly related to the employee's current field of work. 
Courses must start and end while the employee is employed and prior approval by employee's managers is required before the course enrollment. The eligible reimbursement amount is up to a maximum of USD5,000 (or local currency equivalent) per calendar year.  Reimbursement will be made via the monthly payroll and taxed where country legislation dictates.  This program is not available to interns.</t>
  </si>
  <si>
    <t>Our Purchase Plan provides employees with an opportunity to contribute up to ten percent (10%) toward the purchase shares of company stock through accumulated payroll deductions.</t>
  </si>
  <si>
    <t>Currently, due to COVID all employee can claim back $35 per month for their home broadband</t>
  </si>
  <si>
    <t>A Home Worker is an employee who works 90% from home and has no assigned seat in a traditional office</t>
  </si>
  <si>
    <t>Home workers</t>
  </si>
  <si>
    <t>Must be related to job,Must get pre-approval,Other</t>
  </si>
  <si>
    <t>course work must be taken at an accredited college/institution</t>
  </si>
  <si>
    <t>We discontinued our service awards program and will revisit a new service partner &amp; plan design at a later date.</t>
  </si>
  <si>
    <t>we have a cellphone allowance</t>
  </si>
  <si>
    <t>Employee Assistance Program (EAP),Tuition assistance,Service awards,Home office benefits,Other</t>
  </si>
  <si>
    <t>We encourage managers to support employees as they upgrade their business-related skills because we believe in investing in our employee’s development.  Tuition reimbursement for gaining a business-related qualification from a recognized accredited learning institution.</t>
  </si>
  <si>
    <t>Points which can be redeemed for goods or vouchers via Online portal for 10, 15, 20, 25, 30, etc. years service.</t>
  </si>
  <si>
    <t>start at 10 years and then every 5 years after that.</t>
  </si>
  <si>
    <t>For home-based workers:
Broadband &amp; office telephone line are paid by the company.  
Office furniture/equipment reimbursement up to $750</t>
  </si>
  <si>
    <t>Home-based employees</t>
  </si>
  <si>
    <t>Wellbeing allowance reimbursement up to £600 per year.  employees encouraged to participate in physical, emotional and financial programs and activities that positively impact their overall health and wellbeing</t>
  </si>
  <si>
    <t>Depending on a short distance move or a move within country, we have certain services that are covered as costs. It's not about a particular amount. Just certain types of services that are fully covered.</t>
  </si>
  <si>
    <t>We offer all food/meals and snacks in the office without a charge</t>
  </si>
  <si>
    <t>we offer all food at the office without a charge</t>
  </si>
  <si>
    <t>unlimited back up care days until the end of this year due to the pandemic. at 125 USD per day taxes are included</t>
  </si>
  <si>
    <t>we pay the subscription to the network, services are paid by the employee themselves</t>
  </si>
  <si>
    <t>Stock Allocation Policy</t>
  </si>
  <si>
    <t>employees can reimburse any equipment they need to work comfortably/ efficiently there is not limit for reimbursement.</t>
  </si>
  <si>
    <t>Employee Assistance Program (EAP),Other</t>
  </si>
  <si>
    <t>Wellness Benefit - employees reimbursed up to USD 500 per quarter to use towards a variety of wellbeing activities that help employees lead a healthy, happy, energized, and purposeful life</t>
  </si>
  <si>
    <t>Workplace canteens,Onsite fitness center,Fitness or gym membership,Employee Assistance Program (EAP),Employee share plan (ESPP),Home office benefits,Other offering to remote workers</t>
  </si>
  <si>
    <t>Staffed restaurant onsite servicing subsided breakfast and lunch - very high standard</t>
  </si>
  <si>
    <t>Onsite gym with full time gym instructor - yoga and fitness classes included for free</t>
  </si>
  <si>
    <t>$500 a year reimbursement for gym membership or wearables or fitness equipment</t>
  </si>
  <si>
    <t>Fully remote worker receives lump sum for home office set up</t>
  </si>
  <si>
    <t>Remote Workers</t>
  </si>
  <si>
    <t>Monthly payment to cover home utilities and office costs</t>
  </si>
  <si>
    <t>Finance</t>
  </si>
  <si>
    <t>More than once per year</t>
  </si>
  <si>
    <t>Implemented this change</t>
  </si>
  <si>
    <t>Public Transportation</t>
  </si>
  <si>
    <t>London employees get an allowance to cover their travel expenses</t>
  </si>
  <si>
    <t>Benefits,Facilities,Procurement</t>
  </si>
  <si>
    <t>Ad hoc or as needed</t>
  </si>
  <si>
    <t>Yes, at some locations</t>
  </si>
  <si>
    <t>Car Allowance,Company Car</t>
  </si>
  <si>
    <t>constantly under review depends on situation specifics &amp; impacts but the general direction is adjustments to base or allowances, where viable.</t>
  </si>
  <si>
    <t>Business need (e.g., sales position),Job level or grade,Market competitiveness</t>
  </si>
  <si>
    <t>Corporate HR,Local or regional HR,Financial controller,Other, please specify</t>
  </si>
  <si>
    <t>may depend on Business Group</t>
  </si>
  <si>
    <t>Yes, some employees may choose</t>
  </si>
  <si>
    <t>Leased company car,Personal car</t>
  </si>
  <si>
    <t>Benefits,Procurement</t>
  </si>
  <si>
    <t>Every 2-3 years</t>
  </si>
  <si>
    <t>Business need (e.g., sales position),Job level or grade</t>
  </si>
  <si>
    <t>Minimum annual business mileage</t>
  </si>
  <si>
    <t>Supervisor</t>
  </si>
  <si>
    <t>Yes, all employees may choose</t>
  </si>
  <si>
    <t>Handled on a case-by-case basis</t>
  </si>
  <si>
    <t>Top executives,Directors,Managers</t>
  </si>
  <si>
    <t>and those who meet the business mileage criteria</t>
  </si>
  <si>
    <t>Market competitiveness,Job level/salary band of employee</t>
  </si>
  <si>
    <t>Holiday or vacation,Notice pay</t>
  </si>
  <si>
    <t>Leased company car</t>
  </si>
  <si>
    <t>Usually</t>
  </si>
  <si>
    <t>No policy</t>
  </si>
  <si>
    <t>Procurement</t>
  </si>
  <si>
    <t>Allow an employee to choose car allowance vs. company car</t>
  </si>
  <si>
    <t>Benefits</t>
  </si>
  <si>
    <t>Every 4-5 years</t>
  </si>
  <si>
    <t>Finance,Human Resources</t>
  </si>
  <si>
    <t>ad hoc</t>
  </si>
  <si>
    <t>Plan to implement within the next two years</t>
  </si>
  <si>
    <t>Walking/Cycling Allowance</t>
  </si>
  <si>
    <t>Cycle to Work scheme</t>
  </si>
  <si>
    <t>Car Allowance,Public Transportation,Walking/Cycling Allowance</t>
  </si>
  <si>
    <t>Business need (e.g., sales position),Market competitiveness</t>
  </si>
  <si>
    <t>Necessity of a car (e.g., sales role with frequent road travel requirements)</t>
  </si>
  <si>
    <t>Head of territory,Financial controller</t>
  </si>
  <si>
    <t>Managers,Non-management</t>
  </si>
  <si>
    <t>Fuel,Parking,Road toll costs,Car wash,Insurance,Maintenance,Mileage</t>
  </si>
  <si>
    <t>Company provides annual or monthly transit passes</t>
  </si>
  <si>
    <t>Benefits,Facilities,Human Resources</t>
  </si>
  <si>
    <t>No plans to implement</t>
  </si>
  <si>
    <t>Trying to discontinue car allowances</t>
  </si>
  <si>
    <t>Head of territory</t>
  </si>
  <si>
    <t>Employee continues to receive benefit for a specific amount of time (e.g., until the vehicle lease expires)</t>
  </si>
  <si>
    <t>Top executives,Directors,Managers,Non-management</t>
  </si>
  <si>
    <t>Top executives,Directors,Managers,First line supervisors,Non-management</t>
  </si>
  <si>
    <t>High or mid-level</t>
  </si>
  <si>
    <t>Mid-level</t>
  </si>
  <si>
    <t>Mid or low level</t>
  </si>
  <si>
    <t>Facilities</t>
  </si>
  <si>
    <t>removal of company cars and fuel cards</t>
  </si>
  <si>
    <t>Car Allowance</t>
  </si>
  <si>
    <t>Business need (e.g., sales position)</t>
  </si>
  <si>
    <t>Corporate HR,Local or regional HR</t>
  </si>
  <si>
    <t>Not applicable, we only offer allowances</t>
  </si>
  <si>
    <t>none - sales only</t>
  </si>
  <si>
    <t>outside facing sales - "on the road" roles</t>
  </si>
  <si>
    <t>Fuel,Insurance,Maintenance,Other, please specify</t>
  </si>
  <si>
    <t>also depreciation of personal vehicle</t>
  </si>
  <si>
    <t>Tax and social security contribution paid by the employee,Market competitiveness</t>
  </si>
  <si>
    <t>Imputed income (taxable)</t>
  </si>
  <si>
    <t>Human Resources,Procurement</t>
  </si>
  <si>
    <t>Business need (e.g., sales position),Job level or grade,Status or seniority</t>
  </si>
  <si>
    <t>Necessity of a car (e.g., sales role with frequent road travel requirements),Minimum annual business mileage</t>
  </si>
  <si>
    <t>Local or regional HR,Other, please specify</t>
  </si>
  <si>
    <t>Employee's direct manager</t>
  </si>
  <si>
    <t>Employees in roles &amp; levels that fall under pre-defined Services jobs</t>
  </si>
  <si>
    <t>Fuel,Insurance,Maintenance,Mileage</t>
  </si>
  <si>
    <t>Pre-defined values per car model. Values were  determined based on a variety of factors e.g. monthly lease amount, market practice, affordability, etc.</t>
  </si>
  <si>
    <t>Car allowances paid to senior managers and executives are taxed under P11D rules.</t>
  </si>
  <si>
    <t>Occasionally</t>
  </si>
  <si>
    <t>Luxury mid-level</t>
  </si>
  <si>
    <t>High non-luxury,High or mid-level</t>
  </si>
  <si>
    <t>Mid-level,Mid or low level</t>
  </si>
  <si>
    <t>Benefits,Finance,Procurement</t>
  </si>
  <si>
    <t>Participate in cycle to work scheme</t>
  </si>
  <si>
    <t>Subsidy provided to purchase a bicycle</t>
  </si>
  <si>
    <t>Annually</t>
  </si>
  <si>
    <t>Local or regional HR</t>
  </si>
  <si>
    <t>Policy does not address this</t>
  </si>
  <si>
    <t>Fuel,Insurance,Maintenance</t>
  </si>
  <si>
    <t>Job level/salary band of employee</t>
  </si>
  <si>
    <t>Human Resources</t>
  </si>
  <si>
    <t>Ad Hoc</t>
  </si>
  <si>
    <t>Yes, at all locations</t>
  </si>
  <si>
    <t>Necessity of a car (e.g., sales role with frequent road travel requirements),Other, please specify</t>
  </si>
  <si>
    <t>Based on job level</t>
  </si>
  <si>
    <t>Terminate benefit</t>
  </si>
  <si>
    <t>Engineers that travel</t>
  </si>
  <si>
    <t>Local HR</t>
  </si>
  <si>
    <t>This would need to be done directly with the lease company</t>
  </si>
  <si>
    <t>Job level or grade</t>
  </si>
  <si>
    <t>Based on the grade/job level</t>
  </si>
  <si>
    <t>Top executives,Directors</t>
  </si>
  <si>
    <t>workplace experience</t>
  </si>
  <si>
    <t>not applicable at this time as most employees are remotely working, has not been a priority</t>
  </si>
  <si>
    <t>enable salary deductions for cycle programs and public transport</t>
  </si>
  <si>
    <t>Directors,Managers,Other, please specify</t>
  </si>
  <si>
    <t>Field app engineer</t>
  </si>
  <si>
    <t>Directors,Managers,Non-management</t>
  </si>
  <si>
    <t>we dont have</t>
  </si>
  <si>
    <t>Benefits,Human Resources</t>
  </si>
  <si>
    <t>Car Allowance,Company Car,Public Transportation,Walking/Cycling Allowance</t>
  </si>
  <si>
    <t>Corporate HR</t>
  </si>
  <si>
    <t>Employee continues to receive benefit (status quo)</t>
  </si>
  <si>
    <t>based on grade</t>
  </si>
  <si>
    <t>Fuel,Mileage</t>
  </si>
  <si>
    <t>Adjust the salary of the employee</t>
  </si>
  <si>
    <t xml:space="preserve">Benefit is based on seniority (i.e., employee would need to be demoted to lose benefit) </t>
  </si>
  <si>
    <t>Always</t>
  </si>
  <si>
    <t>facilities</t>
  </si>
  <si>
    <t>Providing car allowances only</t>
  </si>
  <si>
    <t>Job level or grade,Market competitiveness</t>
  </si>
  <si>
    <t>By market practice.</t>
  </si>
  <si>
    <t>Mileage</t>
  </si>
  <si>
    <t>Benefits,Finance,Human Resources</t>
  </si>
  <si>
    <t>only sales positions</t>
  </si>
  <si>
    <t>Maintenance</t>
  </si>
  <si>
    <t>Company cost of providing a vehicle (e.g., similar to monthly lease amount),Maintenance of a vehicle,Insurance of a vehicle,Tax and social security contribution paid by the employee,Market competitiveness,Job level/salary band of employee</t>
  </si>
  <si>
    <t>Global HQ</t>
  </si>
  <si>
    <t>Provide Cycle to Work Scheme. Limited parking available</t>
  </si>
  <si>
    <t>Director of C&amp;B for region</t>
  </si>
  <si>
    <t>no automatic provision</t>
  </si>
  <si>
    <t>Car wash,Insurance,Maintenance</t>
  </si>
  <si>
    <t>Company cost of providing a vehicle (e.g., similar to monthly lease amount),Maintenance of a vehicle,Insurance of a vehicle</t>
  </si>
  <si>
    <t>we don't have a transportation policy</t>
  </si>
  <si>
    <t>Fuel,Parking,Car wash,Insurance</t>
  </si>
  <si>
    <t>Ad hoc</t>
  </si>
  <si>
    <t>Market prevalence for the job role</t>
  </si>
  <si>
    <t>Compensation based upon market data</t>
  </si>
  <si>
    <t>We did this for the UK several years ago</t>
  </si>
  <si>
    <t>None - but some grandfathered arrangements in place</t>
  </si>
  <si>
    <t>All sales grades who need to travel</t>
  </si>
  <si>
    <t>No car</t>
  </si>
  <si>
    <t>No lease</t>
  </si>
  <si>
    <t>Fleetworx</t>
  </si>
  <si>
    <t>Business need (e.g., sales position),Job level or grade,Market competitiveness,International mobility or expatriate employee</t>
  </si>
  <si>
    <t>Necessity of a car (e.g., sales role with frequent road travel requirements),Minimum annual business mileage,Percentage of time absent from office on company business</t>
  </si>
  <si>
    <t>all the employees with a specified job grade</t>
  </si>
  <si>
    <t>all the employees with a specified business need</t>
  </si>
  <si>
    <t>Other bonus,Social contributions</t>
  </si>
  <si>
    <t>Purchasing</t>
  </si>
  <si>
    <t>Fleet Manager</t>
  </si>
  <si>
    <t>Benefits,Facilities</t>
  </si>
  <si>
    <t>Removed cars as a benefit and for the grandfathered population we have car cash allowance</t>
  </si>
  <si>
    <t>Car Allowance,Parking Benefits</t>
  </si>
  <si>
    <t>Necessity of a car (e.g., sales role with frequent road travel requirements),Number of locations employee must visit on regular basis</t>
  </si>
  <si>
    <t>Top executives</t>
  </si>
  <si>
    <t>Company cost of providing a vehicle (e.g., similar to monthly lease amount),Market competitiveness</t>
  </si>
  <si>
    <t>Yes, for some locations in this country</t>
  </si>
  <si>
    <t>Company Car</t>
  </si>
  <si>
    <t>Almost never</t>
  </si>
  <si>
    <t>Employees receive a max lease car benefit which they can utilise. Car benefit is following market practise</t>
  </si>
  <si>
    <t>Cycle2Work Scheme</t>
  </si>
  <si>
    <t>Public Transportation,Walking/Cycling Allowance</t>
  </si>
  <si>
    <t>Employees can use their wellness benefit (530 GBP per year) towards the cost of a bike or running shoes</t>
  </si>
  <si>
    <t xml:space="preserve"> Other, please specify</t>
  </si>
  <si>
    <t>Reimbursment</t>
  </si>
  <si>
    <t>No Company cars offered</t>
  </si>
  <si>
    <t>Fuel,Parking,Road toll costs,Car wash,Insurance,Maintenance</t>
  </si>
  <si>
    <t>We don't offer company cars in UK</t>
  </si>
  <si>
    <t>we don't provide cars</t>
  </si>
  <si>
    <t>Car Allowance,Other, please specify</t>
  </si>
  <si>
    <t>We have stopped issuing new company cars</t>
  </si>
  <si>
    <t>Corporate HR,Local or regional HR,Financial controller</t>
  </si>
  <si>
    <t>Only in Marketing would this maybe apply</t>
  </si>
  <si>
    <t>Fuel,Parking,Road toll costs</t>
  </si>
  <si>
    <t>Parking Benefits,Walking/Cycling Allowance</t>
  </si>
  <si>
    <t>Yes, for all locations in this country</t>
  </si>
  <si>
    <t>Government scheme</t>
  </si>
  <si>
    <t>Global travel team</t>
  </si>
  <si>
    <t>Introduction of bike2work schemes</t>
  </si>
  <si>
    <t>In very rare cases, the option to lease a vehicle in lieu of a car allowance is available in certain countries on an exception basis; must be approved by local HR Director and Country Manager.</t>
  </si>
  <si>
    <t>Business need (e.g., sales position),Job level or grade,Market competitiveness,Status or seniority</t>
  </si>
  <si>
    <t>Corporate HR,Local or regional HR,Supervisor</t>
  </si>
  <si>
    <t>Only applicable for certain countries.</t>
  </si>
  <si>
    <t>Maintenance,Mileage,Other, please specify</t>
  </si>
  <si>
    <t>Repairs</t>
  </si>
  <si>
    <t>Market competitiveness,Other, please specify</t>
  </si>
  <si>
    <t>Role, level, country</t>
  </si>
  <si>
    <t>Other bonus</t>
  </si>
  <si>
    <t>Do not have a transportation policy</t>
  </si>
  <si>
    <t>Bike to work scheme - employees can purchase bikes through salary sacrifice agreements.</t>
  </si>
  <si>
    <t>Compensation</t>
  </si>
  <si>
    <t>Insurance,Maintenance</t>
  </si>
  <si>
    <t>Market competitiveness</t>
  </si>
  <si>
    <t>Only car allowances offered, no lease option available.</t>
  </si>
  <si>
    <t>Imputed income (taxable),Social contributions,Notice pay</t>
  </si>
  <si>
    <t>Cash only allowance</t>
  </si>
  <si>
    <t>Company Car Cash allowance</t>
  </si>
  <si>
    <t>No company cars or car allowances
Cycle to work scheme in place
Commuter allowance - Reimbursement of commuter travel tickets up to £300 per month (including bike rental)</t>
  </si>
  <si>
    <t>Benefits,Other, please specify</t>
  </si>
  <si>
    <t>Promote cycle to work, do not offer company car program</t>
  </si>
  <si>
    <t>Company does not use company cars, just car allowance and promote bike to work plan.</t>
  </si>
  <si>
    <t>Necessity of a car (e.g., sales role with frequent road travel requirements),Minimum annual business mileage,Number of locations employee must visit on regular basis</t>
  </si>
  <si>
    <t>Head of territory,Local or regional HR</t>
  </si>
  <si>
    <t>Maintenance of a vehicle,Insurance of a vehicle,Job level/salary band of employee</t>
  </si>
  <si>
    <t>Car Allowance,Public Transportation</t>
  </si>
  <si>
    <t>Fuel</t>
  </si>
  <si>
    <t>Car Allowance,Prearranged Employee Transportation</t>
  </si>
  <si>
    <t>Fuel,Parking,Road toll costs,Mileage</t>
  </si>
  <si>
    <t>Market competitiveness,Limited or no availability of public transportation,Employee safety concerns,International mobility or expatriate employee</t>
  </si>
  <si>
    <t>as necessary</t>
  </si>
  <si>
    <t>Expected business mileage of at least 16,000 KM per year</t>
  </si>
  <si>
    <t>Head of Benefits</t>
  </si>
  <si>
    <t>only those that meet the benefit criteria - customer facing sales roles travelling more than 16,000km per year.</t>
  </si>
  <si>
    <t>Travel</t>
  </si>
  <si>
    <t>When we think there is need for change due to the changing need of the business</t>
  </si>
  <si>
    <t>We have just hired a global team that is looking for transportation</t>
  </si>
  <si>
    <t>We have a program where employees can use Uber or a taxi that the company pays for if they work during the ride to be more efficient</t>
  </si>
  <si>
    <t>Compensation Team</t>
  </si>
  <si>
    <t>more than 50% of travel for customer facing roles</t>
  </si>
  <si>
    <t>Compensation Team / CFO / CEO</t>
  </si>
  <si>
    <t>none of these options. only covers car cost</t>
  </si>
  <si>
    <t>First come first served</t>
  </si>
  <si>
    <t>5-7</t>
  </si>
  <si>
    <t>3-31</t>
  </si>
  <si>
    <t>13 weeks full pay, 13 weeks at 75% base salary</t>
  </si>
  <si>
    <t>up to 12% of base salary capped to $15k per year</t>
  </si>
  <si>
    <t>3 years = 1 day 
5 = 2 days
10 = 3 days 
15 = 4 days 
20 = 5 days (then 1 additional day for every 5 years up to a max of 10 days)</t>
  </si>
  <si>
    <t>employees can claim back $25 per month</t>
  </si>
  <si>
    <t>Offer private medical insurance (PMI)</t>
  </si>
  <si>
    <t>Approach to insuring PMI scheme</t>
  </si>
  <si>
    <t>Other approach to insuring PMI scheme</t>
  </si>
  <si>
    <t>Provide one PMI plan to all staff or different levels of PMI plan benefits provided by position or other determining factor</t>
  </si>
  <si>
    <t xml:space="preserve">Roles eligible to receive PMI </t>
  </si>
  <si>
    <t>Type of benefits provided to dependents are the same as those provided to employees</t>
  </si>
  <si>
    <t>How the benefits provided to dependents are different from those provided to employees</t>
  </si>
  <si>
    <t>PMI benefit has different levels/plan designs</t>
  </si>
  <si>
    <t xml:space="preserve">Number of different PMI levels/plan designs </t>
  </si>
  <si>
    <t>Employees can choose their PMI level of coverage</t>
  </si>
  <si>
    <t>Other choices for PMI level of coverage</t>
  </si>
  <si>
    <t>Employee types eligible to participate in the PMI plan</t>
  </si>
  <si>
    <t xml:space="preserve">Eligibility of part-time employees </t>
  </si>
  <si>
    <t xml:space="preserve">Dependents eligible to participate in this PMI plan </t>
  </si>
  <si>
    <t xml:space="preserve">Maximum eligibility age for children who are not full-time students </t>
  </si>
  <si>
    <t>Other eligibility age for children who are not full-time students</t>
  </si>
  <si>
    <t xml:space="preserve">Maximum eligibility age for full-time students </t>
  </si>
  <si>
    <t>Other eligibility age for full-time students</t>
  </si>
  <si>
    <t xml:space="preserve">Types of coverage included in the PMI plan </t>
  </si>
  <si>
    <t xml:space="preserve">Added telemedicine services as a result of COVID-19 </t>
  </si>
  <si>
    <t xml:space="preserve">Specialists included in the telemedicine services added due to COVID-19 </t>
  </si>
  <si>
    <t>Other specialists included in the telemedicine services added due to COVID-19</t>
  </si>
  <si>
    <t>Coverage added or increased in response to COVID-19</t>
  </si>
  <si>
    <t xml:space="preserve">Additional enhancement plans in response to COVID-19 </t>
  </si>
  <si>
    <t xml:space="preserve">Have a pre-existing conditions waiting period for PMI policy </t>
  </si>
  <si>
    <t>Other waiting period for pre-existing conditions</t>
  </si>
  <si>
    <t>Additional maternity benefits provided in the PMI</t>
  </si>
  <si>
    <t>Description of the additional maternity benefits provided</t>
  </si>
  <si>
    <t>Coverage level in GBP for natural delivery and caesarean section for employees</t>
  </si>
  <si>
    <t>Coverage level in GBP for natural delivery and caesarean section for spouses or domestic partners</t>
  </si>
  <si>
    <t>Waiting period (days) for maternity benefits for new employees</t>
  </si>
  <si>
    <t>Waiting period (days) for PMI participation for new employees</t>
  </si>
  <si>
    <t>How the benefit is paid for employee coverage (not dependents)</t>
  </si>
  <si>
    <t>Method for employee cost sharing</t>
  </si>
  <si>
    <t>Flat amount in GBP that the employee is required to pay</t>
  </si>
  <si>
    <t>Percentage the employee is required to pay</t>
  </si>
  <si>
    <t>Flat amount in GBP of the company contribution</t>
  </si>
  <si>
    <t>How cost sharing is determined</t>
  </si>
  <si>
    <t>Payer of the supplemental medical benefit for dependent coverage - Spouse</t>
  </si>
  <si>
    <t>Payer of the supplemental medical benefit for dependent coverage - Domestic partner</t>
  </si>
  <si>
    <t>Payer of the supplemental medical benefit for dependent coverage - Child (only one)</t>
  </si>
  <si>
    <t>Payer of the supplemental medical benefit for dependent coverage - Children (no limit)</t>
  </si>
  <si>
    <t>Payer of the supplemental medical benefit for dependent coverage - Parents</t>
  </si>
  <si>
    <t>Payer of the supplemental medical benefit for dependent coverage - Parents-in-law</t>
  </si>
  <si>
    <t>Payer of the supplemental medical benefit for dependent coverage - Other</t>
  </si>
  <si>
    <t>Type of institution or method of providing hospital and/or surgical benefits</t>
  </si>
  <si>
    <t>Have an annual maximum for hospital and/or surgical benefits</t>
  </si>
  <si>
    <t>Annual maximum in GBP for hospital and/or surgical benefits</t>
  </si>
  <si>
    <t>Type of room accommodation the hospital and/or surgical benefits provide</t>
  </si>
  <si>
    <t>Other type of room accommodation the hospital and/or surgical benefits provide</t>
  </si>
  <si>
    <t>Provide room and board for hospital/surgical benefits</t>
  </si>
  <si>
    <t>Amount of room and board rate for hospital and/or surgical benefits in GBP</t>
  </si>
  <si>
    <t>Reimbursement level in GBP for hospital and/or surgical benefits</t>
  </si>
  <si>
    <t>Hospital and/or surgical benefits provide a daily hospital cash allowance</t>
  </si>
  <si>
    <t>Amount of daily hospital cash allowance in GBP</t>
  </si>
  <si>
    <t>Have a deductible for hospital and/or surgical benefits</t>
  </si>
  <si>
    <t>Individual deductible in GBP for hospital and/or surgical benefits</t>
  </si>
  <si>
    <t>Family deductible in GBP for hospital and/or surgical benefits</t>
  </si>
  <si>
    <t>Policy covers outpatient benefits</t>
  </si>
  <si>
    <t>Annual maximum in GBP for outpatient benefits</t>
  </si>
  <si>
    <t>Have a deductible for outpatient benefits</t>
  </si>
  <si>
    <t>Individual deductible in GBP for outpatient benefits</t>
  </si>
  <si>
    <t>Family deductible in GBP for outpatient benefits</t>
  </si>
  <si>
    <t>Reimbursement level for outpatient benefits</t>
  </si>
  <si>
    <t>Vendor for the most prevalent PMI plan</t>
  </si>
  <si>
    <t>Other vendor for the most prevalent PMI plan</t>
  </si>
  <si>
    <t>Offer medical excess or shortfall insurance</t>
  </si>
  <si>
    <t>Annual maximum value of the medical excess insurance in GBP</t>
  </si>
  <si>
    <t>Annual maximum value of the medical shortfall insurance in GBP</t>
  </si>
  <si>
    <t>How the medical excess or shortfall insurance is paid</t>
  </si>
  <si>
    <t>Vendor for medical excess or shortfall insurance</t>
  </si>
  <si>
    <t>Have a medical plan that only executives are eligible to participate in</t>
  </si>
  <si>
    <t xml:space="preserve">Offer some type of dental benefit </t>
  </si>
  <si>
    <t>Approach to employee participation</t>
  </si>
  <si>
    <t>Approach to insuring dental benefits</t>
  </si>
  <si>
    <t>Other approach to insuring dental benefits</t>
  </si>
  <si>
    <t xml:space="preserve">Have different levels or plan designs for dental benefit </t>
  </si>
  <si>
    <t>Number of different levels or plan designs within the dental benefit</t>
  </si>
  <si>
    <t>Employees can choose their dental level of coverage</t>
  </si>
  <si>
    <t>Other choices for the dental level of coverage</t>
  </si>
  <si>
    <t>Groups eligible to receive dental benefits</t>
  </si>
  <si>
    <t>Provide the same type of dental benefits to dependents and employees</t>
  </si>
  <si>
    <t>How the benefits provided to dependents different from those provided to employees</t>
  </si>
  <si>
    <t>Employees eligible to participate in the dental plan</t>
  </si>
  <si>
    <t>Other employees eligible to participate in the dental plan</t>
  </si>
  <si>
    <t>Part-time employees eligible to participate in the dental plan</t>
  </si>
  <si>
    <t>Minimum hourly eligibility requirement for part-time employees per week</t>
  </si>
  <si>
    <t>Dependents eligible to participate in the dental plan</t>
  </si>
  <si>
    <t>Other dependents eligible to participate in the dental plan</t>
  </si>
  <si>
    <t>Types of coverage included in the dental benefits plan</t>
  </si>
  <si>
    <t>Other types of coverage included in the dental benefits plan</t>
  </si>
  <si>
    <t>Number of days required before new employees are eligible for dental benefits</t>
  </si>
  <si>
    <t>Payer of the dental benefit for employee coverage</t>
  </si>
  <si>
    <t>Method of employee cost sharing</t>
  </si>
  <si>
    <t>Flat amount the employee is required to pay in GBP</t>
  </si>
  <si>
    <t>Flat amount of the company contribution in GBP</t>
  </si>
  <si>
    <t>Other method of determining employee cost sharing</t>
  </si>
  <si>
    <t>Payer of the dental benefit for dependent coverage - Spouse</t>
  </si>
  <si>
    <t>Payer of the dental benefit for dependent coverage - Domestic partner</t>
  </si>
  <si>
    <t>Payer of the dental benefit for dependent coverage - Child (only one)</t>
  </si>
  <si>
    <t>Payer of the dental benefit for dependent coverage - Children (no limit)</t>
  </si>
  <si>
    <t>Payer of the dental benefit for dependent coverage - Parents</t>
  </si>
  <si>
    <t>Payer of the dental benefit for dependent coverage - Parents-in-law</t>
  </si>
  <si>
    <t>Individual deductible in GBP for dental benefits</t>
  </si>
  <si>
    <t>Family deductible in GBP for dental benefits</t>
  </si>
  <si>
    <t>Annual maximum amount in GBP payable on the dental plan</t>
  </si>
  <si>
    <t>Made dental plan changes due to COVID-19</t>
  </si>
  <si>
    <t>Dental plan changes made due to COVID-19</t>
  </si>
  <si>
    <t>Have a dental plan that only executives are eligible to participate in</t>
  </si>
  <si>
    <t>Vendor for the most prevalent dental plan</t>
  </si>
  <si>
    <t>Other vendor for the most prevalent dental plan</t>
  </si>
  <si>
    <t>Offer some type of vision benefit</t>
  </si>
  <si>
    <t>Types of vision benefits offered</t>
  </si>
  <si>
    <t>Other types of vision benefits offered</t>
  </si>
  <si>
    <t>Groups eligible to receive vision benefits</t>
  </si>
  <si>
    <t>Employees eligible to participate in the vision plan</t>
  </si>
  <si>
    <t>Other employees eligible to participate in the vision plan</t>
  </si>
  <si>
    <t>Part-time employees eligible to participate in the vision plan</t>
  </si>
  <si>
    <t>Dependents eligible to participate in the vision plan</t>
  </si>
  <si>
    <t>Other dependents eligible to participate in the vision plan</t>
  </si>
  <si>
    <t>Types of coverage included in the vision benefits plan</t>
  </si>
  <si>
    <t>Other types of coverage included in the vision benefits plan</t>
  </si>
  <si>
    <t>Number of days of the eligibility waiting period before participation for new employees</t>
  </si>
  <si>
    <t>Payer of the vision benefit for employee coverage</t>
  </si>
  <si>
    <t>Payer of the vision benefit for dependent coverage - Spouse</t>
  </si>
  <si>
    <t>Payer of the vision benefit for dependent coverage - Domestic partner</t>
  </si>
  <si>
    <t>Payer of the vision benefit for dependent coverage - Child (only one)</t>
  </si>
  <si>
    <t>Payer of the vision benefit for dependent coverage - Children (no limit)</t>
  </si>
  <si>
    <t>Payer of the vision benefit for dependent coverage - Parents</t>
  </si>
  <si>
    <t>Payer of the vision benefit for dependent coverage - Parents-in-law</t>
  </si>
  <si>
    <t>Have a vision plan that only executives are eligible to participate in</t>
  </si>
  <si>
    <t>Vendor for the most prevalent vision plan</t>
  </si>
  <si>
    <t>Other vendor for the most prevalent vision plan</t>
  </si>
  <si>
    <t>Provide supplemental life assurance or death benefit (excluding any social security survivor's benefits)</t>
  </si>
  <si>
    <t>Provide different life assurance or death benefit plan designs, types or levels</t>
  </si>
  <si>
    <t>Number of life assurance or death benefit designs, types or levels provided</t>
  </si>
  <si>
    <t>Allow employees to increase or decrease their coverage level via flex</t>
  </si>
  <si>
    <t>Employees eligible to participate in the supplemental life assurance or death benefit plan</t>
  </si>
  <si>
    <t>Other employees eligible to participate in the supplemental life assurance or death benefit plan</t>
  </si>
  <si>
    <t>Part-time employees eligible to participate in the supplemental life assurance or death benefit plan</t>
  </si>
  <si>
    <t>Types of compensation eligible under the plan</t>
  </si>
  <si>
    <t>Other types of compensation eligible under the plan</t>
  </si>
  <si>
    <t>Number of days required before new employees are eligible for supplemental life assurance or death benefits</t>
  </si>
  <si>
    <t>Benefit formula used for the plan</t>
  </si>
  <si>
    <t>Flat amount is the same for all employees</t>
  </si>
  <si>
    <t>Flat amount of the benefit provided in GBP</t>
  </si>
  <si>
    <t>Multiple of earnings upon which the benefit is determined</t>
  </si>
  <si>
    <t>Other multiple of earnings upon which the benefit is determined</t>
  </si>
  <si>
    <t>Percentage of the benefit provided</t>
  </si>
  <si>
    <t>Maximum life assurance benefit amount in GBP</t>
  </si>
  <si>
    <t>Payer of the premium</t>
  </si>
  <si>
    <t xml:space="preserve">Provide dependent life assurance </t>
  </si>
  <si>
    <t>Dependents eligible for dependent life assurance</t>
  </si>
  <si>
    <t>Other dependents eligible for dependent life assurance</t>
  </si>
  <si>
    <t>Dependent life assurance benefit amount in GBP</t>
  </si>
  <si>
    <t>Have a supplemental life assurance or death benefit plan that only executives are eligible to participate in</t>
  </si>
  <si>
    <t>Vendor for the most prevalent supplemental life assurance/death benefit plan</t>
  </si>
  <si>
    <t>Other vendor for the most prevalent supplemental life assurance/death benefit plan</t>
  </si>
  <si>
    <t>Offer some type of insured supplemental accident benefit</t>
  </si>
  <si>
    <t>Approach to insuring supplemental accident benefits</t>
  </si>
  <si>
    <t>Other approach to insuring supplemental accident benefits</t>
  </si>
  <si>
    <t>Type of accident policy</t>
  </si>
  <si>
    <t>Other type of accident policy</t>
  </si>
  <si>
    <t>Provide different accident insurance plan designs, types or levels</t>
  </si>
  <si>
    <t xml:space="preserve">Number of accident plan designs or levels </t>
  </si>
  <si>
    <t>Employees eligible to participate in the supplemental accident insurance plan</t>
  </si>
  <si>
    <t>Other employees eligible to participate in the supplemental accident insurance plan</t>
  </si>
  <si>
    <t>Part-time employees eligible to participate in the supplemental accident insurance plan</t>
  </si>
  <si>
    <t>Accident benefits included in the policy</t>
  </si>
  <si>
    <t>Other accident benefits included in the policy</t>
  </si>
  <si>
    <t>Type of benefit provided</t>
  </si>
  <si>
    <t>Other type of benefit provided</t>
  </si>
  <si>
    <t>Number of days required before new employees are eligible for accident benefits</t>
  </si>
  <si>
    <t>Maximum supplemental accident benefit amount in GBP</t>
  </si>
  <si>
    <t>Have an accident plan for which only executives are eligible to participate</t>
  </si>
  <si>
    <t>Vendor for the most prevalent accident plan</t>
  </si>
  <si>
    <t>Other vendor for the most prevalent accident plan</t>
  </si>
  <si>
    <t>Offer some type of critical illness or dread disease benefit</t>
  </si>
  <si>
    <t>Provide different critical illness insurance plan designs, types or levels</t>
  </si>
  <si>
    <t>Number of critical illness plan designs or levels provided</t>
  </si>
  <si>
    <t>Employees eligible to participate in the critical illness plan</t>
  </si>
  <si>
    <t>Other employees eligible to participate in the critical illness plan</t>
  </si>
  <si>
    <t>Part-time employees eligible to participate in the critical illness plan</t>
  </si>
  <si>
    <t>Types of compensation covered/eligible under the plan</t>
  </si>
  <si>
    <t>Other types of compensation covered/eligible under the plan</t>
  </si>
  <si>
    <t>Number of days required before new employees are eligible for the critical illness plan</t>
  </si>
  <si>
    <t>Maximum critical illness benefit amount in GBP</t>
  </si>
  <si>
    <t>Have a critical illness plan for which only executives are eligible to participate</t>
  </si>
  <si>
    <t>Vendor for the most prevalent critical illness plan</t>
  </si>
  <si>
    <t>Provide supplemental short-term disability benefits above statutory sick pay (SSP)</t>
  </si>
  <si>
    <t>How the supplemental short-term disability benefit is provided</t>
  </si>
  <si>
    <t>Approach to insuring the supplemental short-term disability benefit</t>
  </si>
  <si>
    <t>Other approach to insuring the supplemental short-term disability benefit</t>
  </si>
  <si>
    <t>Type of short-term disability benefits policy</t>
  </si>
  <si>
    <t>Other type of short-term disability benefits policy</t>
  </si>
  <si>
    <t>Provide different short-term disability benefit insurance plan designs, types or levels</t>
  </si>
  <si>
    <t>Number of short-term disability benefit plan designs or levels the company has</t>
  </si>
  <si>
    <t>Employees eligible to participate in the short-term disability plan</t>
  </si>
  <si>
    <t>Other employees eligible to participate in the short-term disability plan</t>
  </si>
  <si>
    <t>Types of compensation eligible under the short-term disability plan</t>
  </si>
  <si>
    <t>Other types of compensation eligible under the short-term disability plan</t>
  </si>
  <si>
    <t>Number of days required before new employees are eligible for the short-term disability plan</t>
  </si>
  <si>
    <t>Elimination or waiting period to receive plan benefits (days)</t>
  </si>
  <si>
    <t>Multiple of earnings upon which the benefit is based</t>
  </si>
  <si>
    <t>Approach to the multiple of earnings</t>
  </si>
  <si>
    <t>Other approach to the multiple of earnings</t>
  </si>
  <si>
    <t>Maximum benefit per employee in GBP</t>
  </si>
  <si>
    <t>Maximum duration of the benefit (days)</t>
  </si>
  <si>
    <t>Have a short-term disability plan for which only executives are eligible to participate</t>
  </si>
  <si>
    <t>Vendor for the most prevalent short-term disability plan</t>
  </si>
  <si>
    <t>Offer some type of supplemental long-term disability or total permanent disability benefit</t>
  </si>
  <si>
    <t>How the supplemental long-term disability or total permanent disability benefit is offered</t>
  </si>
  <si>
    <t>Other ways the supplemental long-term disability or total permanent disability benefit is offered</t>
  </si>
  <si>
    <t>Approach to insuring supplemental long-term disability or total permanent disability benefits</t>
  </si>
  <si>
    <t>Other approach to insuring supplemental long-term disability or total permanent disability benefits</t>
  </si>
  <si>
    <t>Type of long-term disability or total permanent disability policy</t>
  </si>
  <si>
    <t>Other type of long-term disability or total permanent disability policy</t>
  </si>
  <si>
    <t>Provide different long-term disability or total permanent disability insurance plan designs, types or levels</t>
  </si>
  <si>
    <t>Employees eligible to participate in the long-term disability or total permanent disability insurance plan</t>
  </si>
  <si>
    <t>Other employees eligible to participate in the long-term disability or total permanent disability insurance plan</t>
  </si>
  <si>
    <t>Part-time employees eligible to participate in the long-term disability or total permanent disability insurance plan</t>
  </si>
  <si>
    <t>Long-term disability or total permanent disability benefits included in the policy</t>
  </si>
  <si>
    <t>Other long-term disability or total permanent disability benefits included in the policy</t>
  </si>
  <si>
    <t>Definition of disability. Inability to perform</t>
  </si>
  <si>
    <t>Other definition of disability. Inability to perform</t>
  </si>
  <si>
    <t>Types of compensation covered/eligible under the long-term disability or total permanent disability plan</t>
  </si>
  <si>
    <t>Other types of compensation covered/eligible under the long-term disability or total permanent disability plan</t>
  </si>
  <si>
    <t>Number of days required before new employees are eligible for long-term disability or total permanent disability benefits</t>
  </si>
  <si>
    <t>Deferred or waiting period to receive plan benefits (days)</t>
  </si>
  <si>
    <t>Maximum duration of the benefit</t>
  </si>
  <si>
    <t>Other maximum duration of the benefit</t>
  </si>
  <si>
    <t>Have a long-term disability plan for which only executives are eligible to participate</t>
  </si>
  <si>
    <t>Vendor for the most prevalent long-term disability plan</t>
  </si>
  <si>
    <t>Other vendor for the most prevalent long-term disability plan</t>
  </si>
  <si>
    <t>Provide contributions in excess of the legally required amount under automatic enrollment</t>
  </si>
  <si>
    <t>Types of supplemental or private pension plans and flexible workplace savings opportunities provided</t>
  </si>
  <si>
    <t>Offer an alternative to pension contributions for higher paid employees who are affected by the tapered annual allowance</t>
  </si>
  <si>
    <t>Alternative provided</t>
  </si>
  <si>
    <t>Governance approach of the pension plan(s)</t>
  </si>
  <si>
    <t>Other governance approach of the pension plan(s)</t>
  </si>
  <si>
    <t>Provide different defined contribution plan designs, types or levels</t>
  </si>
  <si>
    <t>Number of defined contribution plans</t>
  </si>
  <si>
    <t>Employees eligible to participate in the defined contribution plan</t>
  </si>
  <si>
    <t>Other employees that are eligible to participate in the defined contribution plan</t>
  </si>
  <si>
    <t>Part-time employees eligible to participate in the defined contribution plan</t>
  </si>
  <si>
    <t xml:space="preserve">Minimum weekly hourly eligibility requirement for part-time employees </t>
  </si>
  <si>
    <t>Types of compensation used in calculating contributions</t>
  </si>
  <si>
    <t>Other types of compensation used in calculating contributions</t>
  </si>
  <si>
    <t>Number of days required before new employees are eligible to participate in the defined contribution plan</t>
  </si>
  <si>
    <t>Approach to the company's participation</t>
  </si>
  <si>
    <t>Other approach to the company's participation</t>
  </si>
  <si>
    <t>Percentage the company automatically contributes</t>
  </si>
  <si>
    <t>Percentage an employee is required to contribute</t>
  </si>
  <si>
    <t>Match employee-paid contributions</t>
  </si>
  <si>
    <t>Company's match formula/ratio</t>
  </si>
  <si>
    <t>Company matching capped</t>
  </si>
  <si>
    <t>How the company match is capped</t>
  </si>
  <si>
    <t>Maximum percentage the company matches</t>
  </si>
  <si>
    <t>Maximum flat amount the company matches in GBP</t>
  </si>
  <si>
    <t>Maximum other amount the company matches</t>
  </si>
  <si>
    <t>Vesting schedule for company contributions</t>
  </si>
  <si>
    <t>Number of years of service required for cliff vesting</t>
  </si>
  <si>
    <t>Types of investment options provided to employees</t>
  </si>
  <si>
    <t>Other types of investment options provided to employees</t>
  </si>
  <si>
    <t>Defined contribution plan default investment</t>
  </si>
  <si>
    <t>Other defined contribution plan default investment</t>
  </si>
  <si>
    <t>Percentage of employees invested in your company's default investment</t>
  </si>
  <si>
    <t>Have a defined contribution plan for which only executives are eligible to participate</t>
  </si>
  <si>
    <t>Vendor for the most prevalent defined contribution plan</t>
  </si>
  <si>
    <t>Other vendor for the most prevalent defined contribution plan</t>
  </si>
  <si>
    <t>Provide different defined benefit plan designs, types, or levels</t>
  </si>
  <si>
    <t>Number of defined benefit plans</t>
  </si>
  <si>
    <t>Number of days required before new employees are eligible to participate in the defined benefit plan</t>
  </si>
  <si>
    <t>Percentage an employee required to contribute</t>
  </si>
  <si>
    <t>Means for company contribution</t>
  </si>
  <si>
    <t>Percentage the company contributes</t>
  </si>
  <si>
    <t>Flat amount the company contributes in GBP</t>
  </si>
  <si>
    <t>Other amount the company contributes</t>
  </si>
  <si>
    <t>Vesting schedule</t>
  </si>
  <si>
    <t>Provision provided for payment of an early retirement pension</t>
  </si>
  <si>
    <t>Type of compensation used in the benefit formula</t>
  </si>
  <si>
    <t>Other type of compensation used in the benefit formula</t>
  </si>
  <si>
    <t>Percentage used to compute the benefit</t>
  </si>
  <si>
    <t>Number of years of earnings upon which the benefit is based</t>
  </si>
  <si>
    <t>Method for defining career average</t>
  </si>
  <si>
    <t>Age at which employees are eligible for an early retirement pension</t>
  </si>
  <si>
    <t>Number of years of service required for employees to receive an early retirement pension</t>
  </si>
  <si>
    <t>Company's normal retirement age is in line with statutory requirements</t>
  </si>
  <si>
    <t>Normal retirement age for employees</t>
  </si>
  <si>
    <t>Have a defined benefit plan that only executives are eligible to participate in</t>
  </si>
  <si>
    <t>Have a maximum limit for employer contributions in the employee savings account</t>
  </si>
  <si>
    <t>Maximum employer contribution amount/percentage</t>
  </si>
  <si>
    <t>Employees eligible to participate in the pension contribution flex</t>
  </si>
  <si>
    <t>Other employees eligible to participate in the pension contribution flex</t>
  </si>
  <si>
    <t xml:space="preserve">Type of pension flex to savings opportunity offered </t>
  </si>
  <si>
    <t>Maintain the current pension employee/employer split ratio</t>
  </si>
  <si>
    <t>Other approach to maintaining the current pension employee/employer split ratio</t>
  </si>
  <si>
    <t>Allow employees to flex below the current pension auto enrolment minimums</t>
  </si>
  <si>
    <t>Degree of support provided to the workforce in defining a strong sense of self or purpose</t>
  </si>
  <si>
    <t xml:space="preserve">Extent that perceptions or stigma of mental illness impact wellness program utilization </t>
  </si>
  <si>
    <t>Methods for integrating emotional wellness into general medical and wellness programs</t>
  </si>
  <si>
    <t>Other methods for integrating emotional wellness into general medical and wellness programs</t>
  </si>
  <si>
    <t>Methods for tracking employees' engagement and loyalty</t>
  </si>
  <si>
    <t>Other methods for tracking employees' engagement and loyalty</t>
  </si>
  <si>
    <t>Methods for embedding health and wellbeing in the organization's structure</t>
  </si>
  <si>
    <t>Other methods for embedding health and wellbeing in the organization's structure</t>
  </si>
  <si>
    <t>Wellbeing programs offered</t>
  </si>
  <si>
    <t>Other wellbeing programs offered</t>
  </si>
  <si>
    <t xml:space="preserve">Methods for offering wellbeing programs </t>
  </si>
  <si>
    <t xml:space="preserve">Other methods for offering wellbeing programs </t>
  </si>
  <si>
    <t>Additional information about how wellbeing programs are offered</t>
  </si>
  <si>
    <t>Methods for measuring the engagement and success of wellbeing programs</t>
  </si>
  <si>
    <t>Offer an incentive to participate in the wellbeing programs</t>
  </si>
  <si>
    <t>Incentive offered</t>
  </si>
  <si>
    <t>Other incentive offered</t>
  </si>
  <si>
    <t>Programs that offer an incentive</t>
  </si>
  <si>
    <t>Other programs that offer an incentive</t>
  </si>
  <si>
    <t>Have programs in place to assist employees with saving for their retirement (aside from the government-mandated benefits)</t>
  </si>
  <si>
    <t>Financial wellbeing programs offered</t>
  </si>
  <si>
    <t>Other financial wellbeing programs offered</t>
  </si>
  <si>
    <t xml:space="preserve">Method for offering financial wellbeing programs </t>
  </si>
  <si>
    <t xml:space="preserve">Other method for offering financial wellbeing programs </t>
  </si>
  <si>
    <t>Additional information about how financial wellbeing programs are offered</t>
  </si>
  <si>
    <t>Have a local wellness committee</t>
  </si>
  <si>
    <t>Members of the wellness committee</t>
  </si>
  <si>
    <t>Other members of the wellness committee</t>
  </si>
  <si>
    <t>Offer health fairs to employees</t>
  </si>
  <si>
    <t>Health fair events offered onsite</t>
  </si>
  <si>
    <t>Topics addressed in the health fairs</t>
  </si>
  <si>
    <t>Have an Employee Assistance Program (EAP)</t>
  </si>
  <si>
    <t>Approach to determining the number of EAP sessions offered to employees</t>
  </si>
  <si>
    <t>Number of EAP sessions offered per incident</t>
  </si>
  <si>
    <t>Number of EAP sessions offered per year</t>
  </si>
  <si>
    <t>Added additional EAP services in the last year</t>
  </si>
  <si>
    <t>Additional services added</t>
  </si>
  <si>
    <t>Areas included in EAP coverage</t>
  </si>
  <si>
    <t>Other areas included in EAP coverage</t>
  </si>
  <si>
    <t>Methods for accessing the EAP vendor's services</t>
  </si>
  <si>
    <t>Other methods for accessing the EAP vendor's services</t>
  </si>
  <si>
    <t>Offer onsite EAP services</t>
  </si>
  <si>
    <t>Number of onsite EAP counselors available per employee</t>
  </si>
  <si>
    <t>The EAP duplicates services offered through medical benefit plans</t>
  </si>
  <si>
    <t>Offer any counseling services outside of the EAP and PMI</t>
  </si>
  <si>
    <t>Additional counseling services offered</t>
  </si>
  <si>
    <t>Communicate the benefits of the EAP to employees</t>
  </si>
  <si>
    <t>How the EAP benefits are communicated</t>
  </si>
  <si>
    <t xml:space="preserve">Extent that perceptions or stigma of mental illness impact EAP utilization </t>
  </si>
  <si>
    <t>Approach taken to reduce the stigma associated with mental illness</t>
  </si>
  <si>
    <t>Allow a supervisor or a member of the management team to require an employee to use EAP services</t>
  </si>
  <si>
    <t>The EAP vendor provides utilization reports</t>
  </si>
  <si>
    <t>Percentage of employees using the EAP</t>
  </si>
  <si>
    <t>Most common reason employees do not use the EAP</t>
  </si>
  <si>
    <t>Other common reasons employees do not use the EAP</t>
  </si>
  <si>
    <t>EAP vendor</t>
  </si>
  <si>
    <t>Leave benefits offered</t>
  </si>
  <si>
    <t>Approach to annual/privilege leave</t>
  </si>
  <si>
    <t>Employees eligible to participate in your annual/privilege leave plan</t>
  </si>
  <si>
    <t>Other employees eligible to participate in your annual/privilege leave plan</t>
  </si>
  <si>
    <t>Number of days required before new employees are eligible for annual/privilege leave</t>
  </si>
  <si>
    <t xml:space="preserve">All employees receive the same amount of annual or privilege leave </t>
  </si>
  <si>
    <t>Allow annual or privilege leave to be carried forward to the next year</t>
  </si>
  <si>
    <t>Have a maximum number of days that can be carried forward</t>
  </si>
  <si>
    <t>Maximum number of days that can be carried forward</t>
  </si>
  <si>
    <t>Treatment of days above the carry forward maximum</t>
  </si>
  <si>
    <t>What happens to days above the carry forward limit</t>
  </si>
  <si>
    <t>Have a time limit on when the carry forward days must be used</t>
  </si>
  <si>
    <t>Time limit on carry forward days</t>
  </si>
  <si>
    <t>Treatment of days that are beyond the carry forward time limit</t>
  </si>
  <si>
    <t>Other treatment of days that are beyond the carry forward time limit</t>
  </si>
  <si>
    <t>Allow employees to buy additional annual/privilege leave</t>
  </si>
  <si>
    <t>Annual maximum number of days an employee may buy</t>
  </si>
  <si>
    <t>Allow employees to sell annual/privilege leave</t>
  </si>
  <si>
    <t>Annual maximum number of days an employee may sell</t>
  </si>
  <si>
    <t>Approach to ordinary maternity leave</t>
  </si>
  <si>
    <t>How ordinary maternity leave is paid</t>
  </si>
  <si>
    <t>Employees eligible to participate in the ordinary maternity leave plan</t>
  </si>
  <si>
    <t>Other employees eligible to participate in the ordinary maternity leave plan</t>
  </si>
  <si>
    <t>Number of days required before new employees are eligible for ordinary maternity leave</t>
  </si>
  <si>
    <t>Number of weeks an employee is entitled to for ordinary maternity leave</t>
  </si>
  <si>
    <t>Approach to additional maternity leave</t>
  </si>
  <si>
    <t>Types of employees eligible to participate in the additional maternity leave plan</t>
  </si>
  <si>
    <t>Other employees eligible to participate in the additional maternity leave plan</t>
  </si>
  <si>
    <t>Number of weeks an employee is entitled to for additional maternity leave</t>
  </si>
  <si>
    <t>Approach to enhanced paternity leave</t>
  </si>
  <si>
    <t>How enhanced paternity leave is paid</t>
  </si>
  <si>
    <t>Employees eligible to participate in the enhanced paternity leave plan</t>
  </si>
  <si>
    <t>Other employees eligible to participate in the enhanced paternity leave plan</t>
  </si>
  <si>
    <t>Number of days required before new employees are eligible for enhanced paternity leave</t>
  </si>
  <si>
    <t>Number of weeks an employee is entitled to for enhanced paternity leave</t>
  </si>
  <si>
    <t>Approach to shared parental leave</t>
  </si>
  <si>
    <t>How shared parental leave is paid</t>
  </si>
  <si>
    <t>Employees eligible to participate in the shared parental leave plan</t>
  </si>
  <si>
    <t>Other employees eligible to participate in the shared parental leave plan</t>
  </si>
  <si>
    <t>Number of days required before new employees are eligible for shared parental leave</t>
  </si>
  <si>
    <t>Number of weeks an employee is entitled to for shared parental leave</t>
  </si>
  <si>
    <t>Approach to parental leave</t>
  </si>
  <si>
    <t>How parental leave is paid</t>
  </si>
  <si>
    <t>Employees eligible to participate in the parental leave plan</t>
  </si>
  <si>
    <t>Other employees eligible to participate in the parental leave plan</t>
  </si>
  <si>
    <t>Number of days required before new employees are eligible for parental leave</t>
  </si>
  <si>
    <t>Number of weeks an employee is entitled to for parental leave</t>
  </si>
  <si>
    <t>Approach to adoption leave</t>
  </si>
  <si>
    <t>How adoption leave is paid</t>
  </si>
  <si>
    <t>Employees eligible to participate in the adoption leave plan</t>
  </si>
  <si>
    <t>Other employees eligible to participate in the adoption leave plan</t>
  </si>
  <si>
    <t>Number of days required before new employees are eligible for adoption leave</t>
  </si>
  <si>
    <t>Number of weeks an employee is entitled to for adoption leave</t>
  </si>
  <si>
    <t>Approach to caregiver leave</t>
  </si>
  <si>
    <t>How caregiver leave is paid</t>
  </si>
  <si>
    <t>Employees eligible to participate in the caregiver leave plan</t>
  </si>
  <si>
    <t>Other employees eligible to participate in the caregiver leave plan</t>
  </si>
  <si>
    <t>Relationships that qualify for caregiver leave</t>
  </si>
  <si>
    <t>Other relationships that qualify for caregiver leave</t>
  </si>
  <si>
    <t>Number of days required before new employees are eligible for caregiver leave</t>
  </si>
  <si>
    <t>Number of weeks an employee is entitled to for caregiver leave</t>
  </si>
  <si>
    <t>Caregiver leave requires proof (e.g., doctor's note)</t>
  </si>
  <si>
    <t>Limit the number of occasions for which employees can request caregiver leave</t>
  </si>
  <si>
    <t>Approach to sick leave</t>
  </si>
  <si>
    <t>How sick leave is paid</t>
  </si>
  <si>
    <t>Employees eligible to participate in the sick leave plan</t>
  </si>
  <si>
    <t>Other employees eligible to participate in the sick leave plan</t>
  </si>
  <si>
    <t>Sick leave requires proof (e.g., doctor's note)</t>
  </si>
  <si>
    <t>Number of days required before new employees are eligible for sick leave</t>
  </si>
  <si>
    <t>Number of weeks an employee is entitled to for sick leave</t>
  </si>
  <si>
    <t>Allow sick leave to be carried forward to the next year</t>
  </si>
  <si>
    <t>Have a maximum number of hours that can be carried forward</t>
  </si>
  <si>
    <t>Maximum number of hours that can be carried forward</t>
  </si>
  <si>
    <t>Treatment of hours above the carry forward maximum</t>
  </si>
  <si>
    <t>Other treatment of hours above the carry forward maximum</t>
  </si>
  <si>
    <t>Approach to marriage leave</t>
  </si>
  <si>
    <t>How marriage leave is paid</t>
  </si>
  <si>
    <t>Employees eligible to participate in the marriage leave plan</t>
  </si>
  <si>
    <t>Other employees eligible to participate in the marriage leave plan</t>
  </si>
  <si>
    <t>Number of days required before new employees are eligible for marriage leave</t>
  </si>
  <si>
    <t>Number of weeks an employee is entitled to for marriage leave</t>
  </si>
  <si>
    <t>Approach to bereavement/funeral leave</t>
  </si>
  <si>
    <t>How bereavement/funeral leave is paid</t>
  </si>
  <si>
    <t>Employees eligible to participate in the bereavement/funeral leave plan</t>
  </si>
  <si>
    <t>Other employees eligible to participate in the bereavement/funeral leave plan</t>
  </si>
  <si>
    <t>Bereavement/funeral leave requires proof</t>
  </si>
  <si>
    <t>Number of days required before new employees are eligible for bereavement/funeral leave</t>
  </si>
  <si>
    <t>Relationships that qualify for bereavement leave</t>
  </si>
  <si>
    <t>Other relationships that qualify for bereavement leave</t>
  </si>
  <si>
    <t xml:space="preserve">Employees receive the same amount of bereavement leave regardless of relationship </t>
  </si>
  <si>
    <t>Number of days an employee is entitled to for bereavement leave</t>
  </si>
  <si>
    <t>Maximum bereavement leave - Spouse</t>
  </si>
  <si>
    <t>Maximum bereavement leave - Domestic partner</t>
  </si>
  <si>
    <t>Maximum bereavement leave - Child(ren)</t>
  </si>
  <si>
    <t>Maximum bereavement leave - Step children</t>
  </si>
  <si>
    <t>Maximum bereavement leave - Foster children</t>
  </si>
  <si>
    <t>Maximum bereavement leave - Grandchildren</t>
  </si>
  <si>
    <t>Maximum bereavement leave - Parent</t>
  </si>
  <si>
    <t>Maximum bereavement leave - Parent-in-law</t>
  </si>
  <si>
    <t>Maximum bereavement leave - Grandparent</t>
  </si>
  <si>
    <t>Maximum bereavement leave - Grandparent-in-law</t>
  </si>
  <si>
    <t>Maximum bereavement leave - Brother or sister</t>
  </si>
  <si>
    <t>Maximum bereavement leave - Brother or sister-in-law</t>
  </si>
  <si>
    <t>Maximum bereavement leave - Niece or nephew</t>
  </si>
  <si>
    <t>Maximum bereavement leave - Uncle or aunt</t>
  </si>
  <si>
    <t>Maximum bereavement leave - Cousin</t>
  </si>
  <si>
    <t>Maximum bereavement leave - Other member of employee's household (non-relative)</t>
  </si>
  <si>
    <t>Maximum bereavement leave - Other relationship</t>
  </si>
  <si>
    <t>Offer additional time off if extensive travel is required (e.g., flight, different country, etc.)</t>
  </si>
  <si>
    <t>Number of additional days offered in this case</t>
  </si>
  <si>
    <t>Approach to leave travel allowance or bonus leave</t>
  </si>
  <si>
    <t>How leave travel allowance or bonus leave is paid</t>
  </si>
  <si>
    <t>Employees eligible to participate in the leave travel allowance or bonus leave plan</t>
  </si>
  <si>
    <t>Other employees eligible to participate in the leave travel allowance or bonus leave plan</t>
  </si>
  <si>
    <t>Number of days required before new employees are eligible for leave travel allowance or bonus leave</t>
  </si>
  <si>
    <t>Number of weeks an employee is entitled to for leave travel allowance or bonus leave</t>
  </si>
  <si>
    <t>Approach to military/reserve leave</t>
  </si>
  <si>
    <t>How military/reserve leave is paid</t>
  </si>
  <si>
    <t>Employees eligible to participate in the military/reserve leave plan</t>
  </si>
  <si>
    <t>Other employees eligible to participate in the military/reserve leave plan</t>
  </si>
  <si>
    <t>Number of days required before new employees are eligible for military/reserve leave</t>
  </si>
  <si>
    <t>Number of weeks an employee is entitled to for military/reserve leave</t>
  </si>
  <si>
    <t>Approach to jury service leave</t>
  </si>
  <si>
    <t>How jury service leave is paid</t>
  </si>
  <si>
    <t>Employees eligible to participate in the jury service leave plan</t>
  </si>
  <si>
    <t>Other employees eligible to participate in the jury service leave plan</t>
  </si>
  <si>
    <t>Jury service leave requires proof</t>
  </si>
  <si>
    <t>Number of days required before new employees are eligible for jury service leave</t>
  </si>
  <si>
    <t>Number of days an employee is entitled to for jury service leave</t>
  </si>
  <si>
    <t>Approach to study leave</t>
  </si>
  <si>
    <t>How study leave is paid</t>
  </si>
  <si>
    <t>Employees eligible to participate in the study leave plan</t>
  </si>
  <si>
    <t>Other employees eligible to participate in the study leave plan</t>
  </si>
  <si>
    <t>Number of days required before new employees are eligible for study leave</t>
  </si>
  <si>
    <t>Requirements for an employees to take study leave</t>
  </si>
  <si>
    <t>Other requirements for an employee to take study leave</t>
  </si>
  <si>
    <t>Number of weeks an employee is entitled to for study leave</t>
  </si>
  <si>
    <t>Approach to charity projects leave</t>
  </si>
  <si>
    <t>How charity projects leave is paid</t>
  </si>
  <si>
    <t>Employees eligible to participate in the charity projects leave plan</t>
  </si>
  <si>
    <t>Other employees eligible to participate in the charity projects leave plan</t>
  </si>
  <si>
    <t>Number of days required before new employees are eligible for charity projects leave</t>
  </si>
  <si>
    <t>Number of business days an employee is entitled to for charity projects leave</t>
  </si>
  <si>
    <t>Approach to sabbatical leave</t>
  </si>
  <si>
    <t>How sabbatical leave is paid</t>
  </si>
  <si>
    <t>Employees eligible to participate in the sabbatical leave plan</t>
  </si>
  <si>
    <t>Other employees eligible to participate in the sabbatical leave plan</t>
  </si>
  <si>
    <t>Length of service required for an employee's first sabbatical</t>
  </si>
  <si>
    <t>Maximum length of sabbatical leave</t>
  </si>
  <si>
    <t>Benefits continued during the sabbatical leave</t>
  </si>
  <si>
    <t>Which benefits are continued during the sabbatical leave</t>
  </si>
  <si>
    <t>Employees eligible to participate in the unpaid leave plan</t>
  </si>
  <si>
    <t>Other employees eligible to participate in the unpaid leave plan</t>
  </si>
  <si>
    <t>Number of days required before new employees are eligible for unpaid leave</t>
  </si>
  <si>
    <t>Number of weeks an employee is entitled to for unpaid leave</t>
  </si>
  <si>
    <t>Other leave policy</t>
  </si>
  <si>
    <t>Approach to other leave</t>
  </si>
  <si>
    <t>How other leave is paid</t>
  </si>
  <si>
    <t>Employees eligible to participate in the other leave plan</t>
  </si>
  <si>
    <t>Other employees eligible to participate in the other leave plan</t>
  </si>
  <si>
    <t>Number of days required before new employees are eligible for other leave</t>
  </si>
  <si>
    <t>Number of weeks an employee is entitled to for other leave</t>
  </si>
  <si>
    <t>Describe any other truly differentiating or unique leave policies offered</t>
  </si>
  <si>
    <t>Have a leave plan for which only executives are eligible to participate</t>
  </si>
  <si>
    <t>Provide voluntary benefits</t>
  </si>
  <si>
    <t>Voluntary benefits provided</t>
  </si>
  <si>
    <t>Other voluntary benefits provided</t>
  </si>
  <si>
    <t>Have voluntary benefits for which only executives are eligible to participate</t>
  </si>
  <si>
    <t>Employees eligible to participate in the housing or accommodation allowance program</t>
  </si>
  <si>
    <t>Other employees eligible to participate in the housing or accommodation allowance program</t>
  </si>
  <si>
    <t>Annual maximum benefit in GBP, if any, for the housing or accommodation allowance program</t>
  </si>
  <si>
    <t>Employees eligible to participate in the relocation assistance program</t>
  </si>
  <si>
    <t>Other employees eligible to participate in the relocation assistance program</t>
  </si>
  <si>
    <t>Number of days required before new employees are eligible for the relocation assistance program</t>
  </si>
  <si>
    <t>Annual maximum benefit in GBP, if any, for the relocation assistance program</t>
  </si>
  <si>
    <t>Employees eligible to participate in the subsidized meals program</t>
  </si>
  <si>
    <t>Other employees eligible to participate in the subsidized meals program</t>
  </si>
  <si>
    <t>Number of days required before new employees are eligible for the subsidized meals program</t>
  </si>
  <si>
    <t>Annual maximum benefit in GBP, if any, for the subsidized meals program</t>
  </si>
  <si>
    <t>Employees eligible to participate in the workplace canteens program</t>
  </si>
  <si>
    <t>Other employees eligible to participate in the workplace canteens program</t>
  </si>
  <si>
    <t>Number of days required before new employees are eligible for the workplace canteens program</t>
  </si>
  <si>
    <t>Annual maximum benefit in GBP, if any, for the workplace canteens program</t>
  </si>
  <si>
    <t>Employees eligible to participate in the convenience program</t>
  </si>
  <si>
    <t>Other employees eligible to participate in the convenience program</t>
  </si>
  <si>
    <t>Number of days required before new employees are eligible for the convenience program</t>
  </si>
  <si>
    <t>Annual maximum benefit in GBP, if any, for the convenience program</t>
  </si>
  <si>
    <t>Employees eligible to participate in the fitness center program</t>
  </si>
  <si>
    <t>Other employees eligible to participate in the fitness center program</t>
  </si>
  <si>
    <t>Number of days required before new employees are eligible for the fitness center program</t>
  </si>
  <si>
    <t>Employees eligible to participate in the fitness or gym membership program</t>
  </si>
  <si>
    <t>Other employees eligible to participate in the fitness or gym membership program</t>
  </si>
  <si>
    <t>Number of days required before new employees are eligible for the fitness or gym membership program</t>
  </si>
  <si>
    <t>Annual maximum benefit in GBP, if any, for the fitness or gym membership program</t>
  </si>
  <si>
    <t>Employees eligible to participate in the annual medical checkup program</t>
  </si>
  <si>
    <t>Other employees eligible to participate in the annual medical checkup program</t>
  </si>
  <si>
    <t>Number of days required before new employees are eligible for the annual medical checkup program</t>
  </si>
  <si>
    <t>Annual maximum benefit in GBP, if any, for the annual medical checkup program</t>
  </si>
  <si>
    <t>Employees eligible to participate in the childcare program</t>
  </si>
  <si>
    <t>Other employees eligible to participate in the childcare program</t>
  </si>
  <si>
    <t>Number of days required before new employees are eligible for the childcare program</t>
  </si>
  <si>
    <t>Annual maximum benefit in GBP, if any, for the childcare program</t>
  </si>
  <si>
    <t>Employees eligible to participate in the backup childcare program</t>
  </si>
  <si>
    <t>Other employees eligible to participate in the backup childcare program</t>
  </si>
  <si>
    <t>Number of days required before new employees are eligible for the backup childcare program</t>
  </si>
  <si>
    <t>Number of backup childcare days available each year</t>
  </si>
  <si>
    <t>Annual maximum benefit in GBP, if any, for the backup childcare program</t>
  </si>
  <si>
    <t>Employees eligible to participate in the eldercare program</t>
  </si>
  <si>
    <t>Other employees eligible to participate in the eldercare program</t>
  </si>
  <si>
    <t>Number of days required before new employees are eligible for the eldercare program</t>
  </si>
  <si>
    <t>Number of eldercare days available each year</t>
  </si>
  <si>
    <t>Annual maximum benefit in GBP, if any, for the eldercare program</t>
  </si>
  <si>
    <t>Employees eligible to participate in the other family friendly benefit offering</t>
  </si>
  <si>
    <t>Other employees eligible to participate in the other family friendly benefit offering</t>
  </si>
  <si>
    <t>Number of days required before new employees are eligible for the other family friendly benefit offering</t>
  </si>
  <si>
    <t>Annual maximum benefit in GBP, if any, for the other family friendly benefit offering</t>
  </si>
  <si>
    <t>Employees eligible to participate in the clothing program</t>
  </si>
  <si>
    <t>Other employees eligible to participate in the clothing program</t>
  </si>
  <si>
    <t>Number of days required before new employees are eligible for the clothing program</t>
  </si>
  <si>
    <t>Annual maximum benefit in GBP, if any, for the clothing program</t>
  </si>
  <si>
    <t>Employees eligible to participate in the tuition assistance program</t>
  </si>
  <si>
    <t>Other employees eligible to participate in the tuition assistance program</t>
  </si>
  <si>
    <t>Number of days required before new employees are eligible for the tuition assistance program</t>
  </si>
  <si>
    <t>Requirements for an employee to participate in the tuition assistance program</t>
  </si>
  <si>
    <t>Other requirements for an employee to participate in the tuition assistance program</t>
  </si>
  <si>
    <t>Require a passing grade under the tuition assistance program</t>
  </si>
  <si>
    <t>Annual maximum benefit in GBP, if any, for the tuition assistance program</t>
  </si>
  <si>
    <t>Method of offering shares to employees</t>
  </si>
  <si>
    <t>Other method of offering shares to employees</t>
  </si>
  <si>
    <t>Minimum period of time before employees can withdraw free shares</t>
  </si>
  <si>
    <t>Other minimum period of time before employees can withdraw free shares</t>
  </si>
  <si>
    <t>Employees eligible to participate in the service awards program</t>
  </si>
  <si>
    <t>Other employees eligible to participate in the service awards program</t>
  </si>
  <si>
    <t>Increments used to denote milestones for service awards</t>
  </si>
  <si>
    <t>Annual maximum benefit in GBP, if any, for the service awards program</t>
  </si>
  <si>
    <t>Employees eligible to participate in the wireless device subsidy program</t>
  </si>
  <si>
    <t>Other employees eligible to participate in the wireless device subsidy program</t>
  </si>
  <si>
    <t>Number of days required before new employees are eligible for the wireless device subsidy program</t>
  </si>
  <si>
    <t>Annual maximum benefit in GBP, if any, for the wireless device subsidy program</t>
  </si>
  <si>
    <t>Employees eligible to participate in the internet subsidy program</t>
  </si>
  <si>
    <t>Other employees eligible to participate in the internet subsidy program</t>
  </si>
  <si>
    <t>Number of days required before new employees are eligible for the internet subsidy program</t>
  </si>
  <si>
    <t>Annual maximum benefit in GBP, if any, for the internet subsidy program</t>
  </si>
  <si>
    <t>Employees eligible to participate in the home office benefits program</t>
  </si>
  <si>
    <t>Other employees eligible to participate in the home office benefits program</t>
  </si>
  <si>
    <t>Number of days required before new employees are eligible for the home office benefits program</t>
  </si>
  <si>
    <t>Annual maximum benefit in GBP, if any, for the home office benefits program</t>
  </si>
  <si>
    <t>Employees eligible to participate in the other offering to remote workers program</t>
  </si>
  <si>
    <t>Other employees eligible to participate in the other offering to remote workers program</t>
  </si>
  <si>
    <t>Number of days required before new employees are eligible for the other offering to remote workers program</t>
  </si>
  <si>
    <t>Annual maximum benefit in GBP, if any, for the other offering to remote workers program</t>
  </si>
  <si>
    <t>Employees eligible to participate in the other program</t>
  </si>
  <si>
    <t>Other employees eligible to participate in the other program</t>
  </si>
  <si>
    <t>Number of days required before new employees are eligible for the other program</t>
  </si>
  <si>
    <t>Annual maximum benefit in GBP, if any, for the other program</t>
  </si>
  <si>
    <t>Department responsible for the company's transportation policy design (eligibility, budget, etc.)</t>
  </si>
  <si>
    <t>Other department responsible for the company's transportation policy design (eligibility, budget, etc.)</t>
  </si>
  <si>
    <t>Frequency of reviewing the transportation policy</t>
  </si>
  <si>
    <t>How often the transportation policy is reviewed</t>
  </si>
  <si>
    <t>Steps taken towards promoting or implementing a greener transportation program - Limited or reduced the number of company car</t>
  </si>
  <si>
    <t xml:space="preserve">Steps taken towards promoting or implementing a greener transportation program - Added hybrid or electric vehicles to company car fleet </t>
  </si>
  <si>
    <t xml:space="preserve">Steps taken towards promoting or implementing a greener transportation program - Limited vehicle options to those with lower CO2 emissions </t>
  </si>
  <si>
    <t>Steps taken towards promoting or implementing a greener transportation program - Offered subsidies or allowances for public transportation</t>
  </si>
  <si>
    <t xml:space="preserve">Steps taken towards promoting or implementing a greener transportation program - Actively promoted other transportation (e.g., car pools, bicycles, etc.) </t>
  </si>
  <si>
    <t>Offer free charging stations for electric vehicles</t>
  </si>
  <si>
    <t>Benefits included in the transportation program</t>
  </si>
  <si>
    <t>Other benefits included in the transportation program</t>
  </si>
  <si>
    <t>Have a policy/strategy of moving away from company cars to only providing car allowances</t>
  </si>
  <si>
    <t>Steps the company is taking to transition from company cars to car allowances</t>
  </si>
  <si>
    <t>Criteria used to determine employee eligibility for a car benefit (vehicle or allowance)</t>
  </si>
  <si>
    <t>Method for determining the business need for a car benefit (vehicle or allowance)</t>
  </si>
  <si>
    <t>Other methods for determining the business need for a car benefit (vehicle or allowance)</t>
  </si>
  <si>
    <t>Role that determines eligibility for car benefits</t>
  </si>
  <si>
    <t>Offer car-eligible employees the option to choose an allowance instead of a vehicle</t>
  </si>
  <si>
    <t>Method of addressing eligibility changes when an employee moves from a role that is eligible for a car benefit (vehicle or allowance) into a role that is not</t>
  </si>
  <si>
    <t>Allow employees to negotiate for car benefits (vehicle or allowance) during the hiring process</t>
  </si>
  <si>
    <t xml:space="preserve">Groups excluding sales that are eligible for car benefits (vehicle or allowance) </t>
  </si>
  <si>
    <t>Other groups excluding sales that are eligible for car benefits (vehicle or allowance)</t>
  </si>
  <si>
    <t>Groups in the sales organization that are eligible for car benefits (vehicle or allowance)</t>
  </si>
  <si>
    <t>Other groups in the sales organization that are eligible for car benefits (vehicle or allowance)</t>
  </si>
  <si>
    <t>Monetary value in GBP for car allowance -Head of sales</t>
  </si>
  <si>
    <t>Monetary value in GBP for car allowance -Other executives (excluding sales)</t>
  </si>
  <si>
    <t>Monetary value in GBP for car allowance -Sales executives</t>
  </si>
  <si>
    <t>Monetary value in GBP for car allowance -Other staff (excluding sales)</t>
  </si>
  <si>
    <t>Monetary value in GBP for car allowance -Other sales staff</t>
  </si>
  <si>
    <t>Factors taken into consideration when determining the car allowance amount</t>
  </si>
  <si>
    <t>Other factors that are taken into consideration when determining the car allowance amount</t>
  </si>
  <si>
    <t>Types of cars covered under the policy</t>
  </si>
  <si>
    <t xml:space="preserve">Extent financial considerations (i.e., tax treatments) drive the offering of car benefits (i.e., the vehicle itself) - Leased company car  </t>
  </si>
  <si>
    <t xml:space="preserve">Extent financial considerations (i.e., tax treatments) drive the offering of car benefits (i.e., the vehicle itself) - Purchased company car  </t>
  </si>
  <si>
    <t xml:space="preserve">Extent financial considerations (i.e., tax treatments) drive the offering of car benefits (i.e., the vehicle itself) - Personal car  </t>
  </si>
  <si>
    <t xml:space="preserve">Extent financial considerations (i.e., tax treatments) drive the offering of car allowances (e.g., fuel, parking, insurance, etc.) - Leased company car  </t>
  </si>
  <si>
    <t xml:space="preserve">Extent financial considerations (i.e., tax treatments) drive the offering of car allowances (e.g., fuel, parking, insurance, etc.) - Purchased company car </t>
  </si>
  <si>
    <t xml:space="preserve">Extent financial considerations (i.e., tax treatments) drive the offering of car allowances (e.g., fuel, parking, insurance, etc.) - Personal car </t>
  </si>
  <si>
    <t xml:space="preserve">Policy includes fuel </t>
  </si>
  <si>
    <t>Policy includes parking</t>
  </si>
  <si>
    <t>Policy includes road toll costs</t>
  </si>
  <si>
    <t xml:space="preserve">Policy includes car washes </t>
  </si>
  <si>
    <t>Policy includes insurance</t>
  </si>
  <si>
    <t>Policy includes maintenance</t>
  </si>
  <si>
    <t>Policy includes mileage</t>
  </si>
  <si>
    <t>Policy includes other</t>
  </si>
  <si>
    <t>Other coverage included in policy</t>
  </si>
  <si>
    <t>Level of car offered - Head of industry</t>
  </si>
  <si>
    <t>Level of car offered - Head of sales</t>
  </si>
  <si>
    <t>Level of car offered - Other executives (excluding sales)</t>
  </si>
  <si>
    <t>Level of car offered - Sales executives</t>
  </si>
  <si>
    <t>Level of car offered - Other staff (excluding sales)</t>
  </si>
  <si>
    <t>Level of car offered - Other sales staff</t>
  </si>
  <si>
    <t>Employees choose which vehicle they receive</t>
  </si>
  <si>
    <t>Replacement policy for company-owned vehicles</t>
  </si>
  <si>
    <t>Frequency at which eligible employees receive a new company-owned vehicle</t>
  </si>
  <si>
    <t>Kilometer threshold at which eligible employees receive a new company-owned vehicle</t>
  </si>
  <si>
    <t>Duration of a typical lease - Head of industry</t>
  </si>
  <si>
    <t>Duration of a typical lease - Head of sales</t>
  </si>
  <si>
    <t>Duration of a typical lease - Other executives (excluding sales)</t>
  </si>
  <si>
    <t>Duration of a typical lease - Sales executives only</t>
  </si>
  <si>
    <t>Duration of a typical lease - Other staff (excluding sales)</t>
  </si>
  <si>
    <t>Duration of a typical lease - Other sales staff only</t>
  </si>
  <si>
    <t>Role that negotiates the lease</t>
  </si>
  <si>
    <t>Other role that negotiates the lease</t>
  </si>
  <si>
    <t>Role that signs the lease</t>
  </si>
  <si>
    <t>Other role that signs the lease</t>
  </si>
  <si>
    <t>Allow employees to purchase the vehicle once the lease arrangement has ended</t>
  </si>
  <si>
    <t>Process for company-owned or leased vehicles</t>
  </si>
  <si>
    <t>Require reporting of personal use of the company car</t>
  </si>
  <si>
    <t>Requirements for reporting personal use of the company car</t>
  </si>
  <si>
    <t>Other requirements for reporting personal use of the company car</t>
  </si>
  <si>
    <t>Employees eligible for a personal car and driver</t>
  </si>
  <si>
    <t>Reasons for providing employees with a personal car and driver</t>
  </si>
  <si>
    <t>Other reasons why the company provides employees with a personal car and driver</t>
  </si>
  <si>
    <t>Limitations placed on an employee's use of a personal car and driver</t>
  </si>
  <si>
    <t>Other limitations placed on an employee's use of a personal car and driver</t>
  </si>
  <si>
    <t>Provide regular prearranged employee transportation to and from the office (i.e., prearranged daily taxi or shuttle service)</t>
  </si>
  <si>
    <t>Company-provided transportation is a shared service among employees (e.g., one taxi may transport several employees)</t>
  </si>
  <si>
    <t>Reasons for providing regular prearranged employee transportation to and from the office</t>
  </si>
  <si>
    <t>Subsidize the cost of parking for any employees (or provides free parking)</t>
  </si>
  <si>
    <t>Employees eligible for subsidized or free parking</t>
  </si>
  <si>
    <t>Other employees provided with subsidized or free parking</t>
  </si>
  <si>
    <t>Cost of parking is fully covered by the company</t>
  </si>
  <si>
    <t>Subsidize the cost of public transportation for any employees</t>
  </si>
  <si>
    <t>Employees eligible for a public transportation subsidy or benefit</t>
  </si>
  <si>
    <t>Other employees provided with a public transportation subsidy or benefit</t>
  </si>
  <si>
    <t>Benefit covers 100% of the cost of public transportation for eligible employees</t>
  </si>
  <si>
    <t>Approach to providing the public transportation subsidy or benefit</t>
  </si>
  <si>
    <t>Employees eligible for a walking or cycling allowance (or related benefit)</t>
  </si>
  <si>
    <t>Method for determining the amount of the allowance (or related benefit)</t>
  </si>
  <si>
    <t>Have other transportation benefits only executives are eligible to participate in</t>
  </si>
  <si>
    <t>ps31027d</t>
  </si>
  <si>
    <t>Spouse,Domestic partner,Child (only one),Parents,Parents-in-law</t>
  </si>
  <si>
    <t>Day care (outpatient) treatment,Primary care doctor visits,Specialist doctor visits,Telemedicine,Hospital,Lab work,Surgical,X-Rays,Inpatient mental health services,Outpatient mental health services</t>
  </si>
  <si>
    <t>Between the social scheme and our plan, everything is covered.</t>
  </si>
  <si>
    <t>no maximum</t>
  </si>
  <si>
    <t>Business Travel Accident that has USD 1M policy at the executive level.  It's USD 500K for all other employees</t>
  </si>
  <si>
    <t>Defined contribution plan,Employee savings account (separate to pension plan)</t>
  </si>
  <si>
    <t>100% of 6%</t>
  </si>
  <si>
    <t>100% vesting after 3 month waiting period</t>
  </si>
  <si>
    <t>Online platform, peer support groups, story sharing platform, 24/7 video chat</t>
  </si>
  <si>
    <t>Money,Raffle prizes,Subsidized passes for gym</t>
  </si>
  <si>
    <t>Virgin Pulse, Spring Health, Frog and Enrich</t>
  </si>
  <si>
    <t>Via Spring Health, our mental wellbeing solution</t>
  </si>
  <si>
    <t>Through all of our communication vehicles, email, website, Teams, wellbeing app, etc...</t>
  </si>
  <si>
    <t>Executives and leaders sharing their stories, talking about our resources during townhalls to help normalize the discussion and topic.  Peer to Peer digital support groups, Platform with story sharing of testimonials for hundreds of individual that individuals can relate to.</t>
  </si>
  <si>
    <t>Spring Health and CuraLinc</t>
  </si>
  <si>
    <t>September 30th - Flexible PTO is coming January 2022, it will be an uncapped annual leave plan.</t>
  </si>
  <si>
    <t>Spouse,Domestic partner,Child(ren),Step children,Foster children,Parent,Parent-in-law,Grandparent,Grandparent-in-law,Brother or sister,Brother or sister-in-law</t>
  </si>
  <si>
    <t>Flexible PTO to begin January 2022</t>
  </si>
  <si>
    <t>Wellbeing reimbursement that can be used for gym memberships, home exercise equipment or anything wellbeing related (i.e., spas, wellbeing/mindfulness apps, books, etc...)</t>
  </si>
  <si>
    <t>Reimbursement of classes, books and fees that are going towards a degree. In 2022, the program will expand to include certifications and reimbursement limits will double.</t>
  </si>
  <si>
    <t>Must get pre-approval,Other</t>
  </si>
  <si>
    <t>Must be career path related</t>
  </si>
  <si>
    <t>Individuals can purchase company stock at a discount (minimum of 15% discount) with 12 month offer periods, and 6 month purchase periods and up to 12 months look back.</t>
  </si>
  <si>
    <t>VPs and below are eligible</t>
  </si>
  <si>
    <t>Reimbursement to purchase home office equipment and supplies</t>
  </si>
  <si>
    <t>Directors and below</t>
  </si>
  <si>
    <t>100% of salary for first 3 months then 50% for the following 3 months</t>
  </si>
  <si>
    <t>Description of the different levels</t>
  </si>
  <si>
    <t xml:space="preserve">Weekly hour eligibility requirement for part-time employees </t>
  </si>
  <si>
    <t xml:space="preserve">Waiting period for pre-existing conditions </t>
  </si>
  <si>
    <t>Other employee types eligible to participate in this PMI plan</t>
  </si>
  <si>
    <t>Other dependents eligible to participate in this PMI plan</t>
  </si>
  <si>
    <t xml:space="preserve">Other types of coverage included in the PMI plan </t>
  </si>
  <si>
    <t>Other coverage added or increased in response to COVID-19</t>
  </si>
  <si>
    <t xml:space="preserve">Roles eligible to receive additional maternity benefits </t>
  </si>
  <si>
    <t>Description of other dependent</t>
  </si>
  <si>
    <t>Other type of institution or method of providing hospital and/or surgical benefits</t>
  </si>
  <si>
    <t>Description of the medical plan for which only executives are eligible to participate</t>
  </si>
  <si>
    <t>Type of carrier insured dental policy</t>
  </si>
  <si>
    <t>Other type of carrier insured dental policy</t>
  </si>
  <si>
    <t xml:space="preserve">Description of the other policy that carrier insured dental plan is a rider to </t>
  </si>
  <si>
    <t>Description of the dental plan for which only executives are eligible to participate</t>
  </si>
  <si>
    <t>Payer of the dental benefit for dependent coverage - Other</t>
  </si>
  <si>
    <t>Payer of the vision benefit for dependent coverage - Other</t>
  </si>
  <si>
    <t>Description of the vision plan for which only executives are eligible to participate</t>
  </si>
  <si>
    <t>Other formula used to determine the amount of the benefit</t>
  </si>
  <si>
    <t>Description of the supplemental life assurance/death benefit plan for which only executives are eligible to participate</t>
  </si>
  <si>
    <t>Other policy that the carrier insured accident policy is a rider to</t>
  </si>
  <si>
    <t>Percentage of earnings provided</t>
  </si>
  <si>
    <t>Description of the other formula used to determine the amount of the benefit</t>
  </si>
  <si>
    <t>Description of the accident plan for which only executives are eligible to participate</t>
  </si>
  <si>
    <t>Description of the critical illness plan for which only executives are eligible to participate</t>
  </si>
  <si>
    <t>Description of the other policy that the carrier insured short-term disability policy is a rider to</t>
  </si>
  <si>
    <t>Part-time employees eligible to participate in the short-term disability plan</t>
  </si>
  <si>
    <t>Description of the short-term disability plan for which only executives are eligible to participate</t>
  </si>
  <si>
    <t>Other policy that the carrier insured long-term disability policy is a rider to</t>
  </si>
  <si>
    <t>Number of long-term disability or total permanent disability plan designs or levels</t>
  </si>
  <si>
    <t>Other benefit formula used for the plan</t>
  </si>
  <si>
    <t>Other formula used to determine the amount of benefit</t>
  </si>
  <si>
    <t>Maximum number of months</t>
  </si>
  <si>
    <t>Maximum specified age</t>
  </si>
  <si>
    <t>Description of the long-term disability plan for which only executives are eligible to participate</t>
  </si>
  <si>
    <t>Other vesting schedule</t>
  </si>
  <si>
    <t>Description of the defined contribution plan for which only executives are eligible to participate</t>
  </si>
  <si>
    <t>Step vesting schedule</t>
  </si>
  <si>
    <t>Flat benefit formula</t>
  </si>
  <si>
    <t>Description of the defined benefit plan for which only executives are eligible to participate</t>
  </si>
  <si>
    <t>Description of the hybrid pension plan</t>
  </si>
  <si>
    <t>Description of the group personal pension plan</t>
  </si>
  <si>
    <t>Description of the Master Trust/NEST pension plan</t>
  </si>
  <si>
    <t>Description of the other pension plan</t>
  </si>
  <si>
    <t>Other methods for measuring the engagement and success of wellbeing programs</t>
  </si>
  <si>
    <t>Vendors that deliver wellness programs</t>
  </si>
  <si>
    <t xml:space="preserve">Other extent that perceptions or stigma of mental illness impact EAP utilization </t>
  </si>
  <si>
    <t>Annual/privilege leave an employee is entitled to, in weeks</t>
  </si>
  <si>
    <t>How annual/privilege leave is paid</t>
  </si>
  <si>
    <t>How additional maternity leave is paid</t>
  </si>
  <si>
    <t>Number of days required before new employees are eligible for additional maternity leave</t>
  </si>
  <si>
    <t>Caregiver leave policy's limits</t>
  </si>
  <si>
    <t>Description of the leave plan for which only executives are eligible to participate</t>
  </si>
  <si>
    <t>Description of the voluntary benefits for which only executives are eligible to participate</t>
  </si>
  <si>
    <t>Housing or accommodation allowance policy</t>
  </si>
  <si>
    <t>Relocation assistance policy</t>
  </si>
  <si>
    <t>Subsidized meals policy</t>
  </si>
  <si>
    <t>Workplace canteens policy</t>
  </si>
  <si>
    <t>Convenience policy</t>
  </si>
  <si>
    <t>Fitness center policy</t>
  </si>
  <si>
    <t>Fitness or gym membership policy</t>
  </si>
  <si>
    <t>Annual medical checkup policy</t>
  </si>
  <si>
    <t>Childcare policy</t>
  </si>
  <si>
    <t>Backup childcare policy</t>
  </si>
  <si>
    <t>Eldercare policy</t>
  </si>
  <si>
    <t>Other family friendly benefit offering policy</t>
  </si>
  <si>
    <t>Clothing policy</t>
  </si>
  <si>
    <t>Tuition assistance policy</t>
  </si>
  <si>
    <t>Employee share plan policy</t>
  </si>
  <si>
    <t>Employees eligible to participate in the employee share plan</t>
  </si>
  <si>
    <t>Other employees eligible to participate in the employee share plan</t>
  </si>
  <si>
    <t>Number of days required before new employees are eligible for the employee share plan</t>
  </si>
  <si>
    <t>Annual maximum benefit in GBP, if any, for the employee share plan</t>
  </si>
  <si>
    <t>Funeral ceremony expense assistance policy</t>
  </si>
  <si>
    <t>Employees eligible to participate in the funeral ceremony expense assistance program</t>
  </si>
  <si>
    <t>Other employees eligible to participate in the funeral ceremony expense assistance program</t>
  </si>
  <si>
    <t>Number of days required before new employees are eligible for the funeral ceremony expense assistance program</t>
  </si>
  <si>
    <t>Annual maximum benefit in GBP, if any, for the funeral ceremony expense assistance program</t>
  </si>
  <si>
    <t>Service awards policy</t>
  </si>
  <si>
    <t>Wireless device subsidy policy</t>
  </si>
  <si>
    <t>Internet subsidy policy</t>
  </si>
  <si>
    <t>Home office benefits policy</t>
  </si>
  <si>
    <t>Other offering to remote workers policy</t>
  </si>
  <si>
    <t>Other policy</t>
  </si>
  <si>
    <t>Other innovative benefits the company offers</t>
  </si>
  <si>
    <t>Number of days required before new employees are eligible for the housing or accommodation allowance program</t>
  </si>
  <si>
    <t>Other steps the company is taking to ensure a greener transportation program</t>
  </si>
  <si>
    <t>Other criteria used to determine employee eligibility for a car benefit (vehicle or allowance)</t>
  </si>
  <si>
    <t>Other role that determines eligibility for car benefits</t>
  </si>
  <si>
    <t>Monetary value in GBP for car allowance -Head of industry</t>
  </si>
  <si>
    <t>Car allowance included as base pay for computing</t>
  </si>
  <si>
    <t>Car allowance included as base pay for other computing</t>
  </si>
  <si>
    <t>Other types of cars covered under the policy</t>
  </si>
  <si>
    <t>Other levels of cars</t>
  </si>
  <si>
    <t>Other duration of a typical lease</t>
  </si>
  <si>
    <t>Other approach to allowing employees to purchase the vehicle once the lease arrangement has ended</t>
  </si>
  <si>
    <t>Other employees eligible for a personal car and driver</t>
  </si>
  <si>
    <t>Other reasons for providing regular prearranged employee transportation to and from the office</t>
  </si>
  <si>
    <t>Other approach to providing the public transportation subsidy or benefit</t>
  </si>
  <si>
    <t>Other employees eligible for a walking or cycling allowance (or related benefit)</t>
  </si>
  <si>
    <t>Other method for determining the amount of the allowance (or related benefit)</t>
  </si>
  <si>
    <t>Description of the other transportation benefits for which only executives are eligible to participate</t>
  </si>
  <si>
    <t>For our corporate staff we pay 100% of contributions and 50% for the dependents it's rich plan. for our production staff we pay 100% of contributions and do not support payment for dependents the plan is lower.</t>
  </si>
  <si>
    <t>Day care (outpatient) treatment,Specialist doctor visits,Telemedicine,Hospital,Maternity,Outpatient medical services,Surgical,X-Rays, Inpatient mental health services,Outpatient mental health services</t>
  </si>
  <si>
    <t>Day care (outpatient) treatment,Primary care doctor visits,Specialist doctor visits,Telemedicine,Hospital,Outpatient medical services,Prescription drugs, Surgical,Inpatient mental health services,Outpatient mental health services</t>
  </si>
  <si>
    <t>Annual check-ups or exams (all employees),Dental services,Hospital,ICU,Outpatient medical services,Post hospitalization expenses,Pre hospitalization expenses, Surgical,X-Rays</t>
  </si>
  <si>
    <t>Ambulance,Day care (outpatient) treatment,Specialist doctor visits, Telemedicine,Hospital,ICU,Lab work,Outpatient medical services,Post hospitalization expenses,Pre hospitalization expenses,Surgical,X-Rays,Inpatient mental health services,Outpatient mental health services,Other</t>
  </si>
  <si>
    <t>Acupuncture,Ambulance,Day care (outpatient) treatment,Specialist doctor visits,Telemedicine,Hospital,Lab work,Outpatient medical services,Surgical,X-Rays, Inpatient mental health services,Outpatient mental health services</t>
  </si>
  <si>
    <t>Acupuncture,Day care (outpatient) treatment,Hospital,Lab work,Maternity,Outpatient medical services,Post hospitalization expenses,Prescription drugs,Surgical,X-Rays, Outpatient mental health services</t>
  </si>
  <si>
    <t>Acupuncture,Ambulance,Day care (outpatient) treatment,Primary care doctor visits,Specialist doctor visits,Telemedicine,Hospital,ICU,Lab work,Outpatient medical services,Post hospitalization expenses,Pre hospitalization expenses, Surgical,X-Rays,Inpatient mental health services,Outpatient mental health services</t>
  </si>
  <si>
    <t>Acupuncture,Ambulance,Day care (outpatient) treatment,Specialist doctor visits,Telemedicine,Hospital,ICU,Lab work,Outpatient medical services,Post hospitalization expenses,Pre hospitalization expenses,Prescription drugs,Surgical, X-Rays,Inpatient mental health services,Outpatient mental health services</t>
  </si>
  <si>
    <t>Acupuncture,Ambulance,Day care (outpatient) treatment,Dental services,Primary care doctor visits,Specialist doctor visits,Telemedicine,Hospital,ICU,Lab work, Maternity,Outpatient medical services,Post hospitalization expenses,Pre hospitalization expenses,Surgical,Vision care,X-Rays,Inpatient mental health services,Outpatient mental health services,Other</t>
  </si>
  <si>
    <t>Ambulance,Day care (outpatient) treatment,Specialist doctor visits, Telemedicine,Hospital,ICU,Lab work,Outpatient medical services,Surgical,Vision care,X-Rays,Inpatient mental health services,Outpatient mental health services</t>
  </si>
  <si>
    <t>Ambulance,Annual check-ups or exams (all employees),Annual check-ups or exams (executives or managers only),Primary care doctor visits,Specialist doctor visits,Telemedicine,Hospital,ICU,Lab work,Maternity,Outpatient medical services, Post hospitalization expenses,Pre hospitalization expenses,Prescription drugs, Surgical,X-Rays,Inpatient mental health services</t>
  </si>
  <si>
    <t>Acupuncture,Ambulance,Annual check-ups or exams (all employees),Annual check-ups or exams (executives or managers only),Day care (outpatient) treatment,Dental services,Primary care doctor visits,Specialist doctor visits,Telemedicine, Hospital,ICU,Lab work,Maternity,Outpatient medical services,Post hospitalization expenses,Pre hospitalization expenses,Prescription drugs,Surgical,Vaccination shots,Vision care,X-Rays,Inpatient mental health services,Outpatient mental health services</t>
  </si>
  <si>
    <t>Ambulance,Annual check-ups or exams (all employees),Primary care doctor visits,Specialist doctor visits,Hospital,Maternity,Outpatient medical services, Prescription drugs,Surgical,Vaccination shots,Inpatient mental health services</t>
  </si>
  <si>
    <t>Ambulance,Day care (outpatient) treatment,Dental services,Telemedicine,Hospital, ICU,Outpatient medical services,Post hospitalization expenses,Pre hospitalization expenses,Surgical,Vaccination shots,Vision care,X-Rays,Inpatient mental health services,Outpatient mental health services</t>
  </si>
  <si>
    <t>Ambulance,Day care (outpatient) treatment,Specialist doctor visits, Telemedicine,Hospital,ICU,Lab work,Outpatient medical services,Surgical,X-Rays, Inpatient mental health services,Outpatient mental health services</t>
  </si>
  <si>
    <t>Acupuncture,Ambulance,Day care (outpatient) treatment,Primary care doctor visits,Specialist doctor visits,Telemedicine,Hospital,Outpatient medical services,Prescription drugs,Surgical,X-Rays,Inpatient mental health services, Outpatient mental health services</t>
  </si>
  <si>
    <t>Acupuncture,Ambulance,Day care (outpatient) treatment,Specialist doctor visits,Telemedicine,Hospital,ICU,Lab work,Outpatient medical services,Post hospitalization expenses,Pre hospitalization expenses,Prescription drugs,Surgical, X-Rays,Inpatient mental health services,Outpatient mental health services,Other</t>
  </si>
  <si>
    <t>Acupuncture,Ambulance,Annual check-ups or exams (all employees),Dental services,Primary care doctor visits,Specialist doctor visits,Telemedicine, Hospital,ICU,Lab work,Maternity,Outpatient medical services,Post hospitalization expenses,Pre hospitalization expenses,Prescription drugs,Surgical,Vaccination shots,Vision care,X-Rays,Inpatient mental health services,Outpatient mental health services</t>
  </si>
  <si>
    <t>Ambulance,Day care (outpatient) treatment,Specialist doctor visits,Hospital, Outpatient medical services,Post hospitalization expenses,Pre hospitalization expenses,Surgical,X-Rays,Inpatient mental health services,Outpatient mental health services</t>
  </si>
  <si>
    <t>Acupuncture,Ambulance,Annual check-ups or exams (all employees),Day care (outpatient) treatment,Primary care doctor visits,Specialist doctor visits, Telemedicine,Hospital,ICU,Lab work,Maternity,Outpatient medical services,Post hospitalization expenses,Prescription drugs,Surgical,X-Rays,Inpatient mental health services,Outpatient mental health services</t>
  </si>
  <si>
    <t>Acupuncture,Ambulance,Day care (outpatient) treatment,Telemedicine, Hospital,Outpatient medical services,Surgical,X-Rays,Inpatient mental health services,Outpatient mental health services</t>
  </si>
  <si>
    <t>Acupuncture,Ambulance,Day care (outpatient) treatment,Dental services,Specialist doctor visits,Telemedicine,Hospital,Lab work,Outpatient medical services,Post hospitalization expenses,Pre hospitalization expenses,Prescription drugs, Surgical,Vision care,X-Rays,Inpatient mental health services,Outpatient mental health services,Other</t>
  </si>
  <si>
    <t>Acupuncture,Ambulance,Day care (outpatient) treatment,Telemedicine,Hospital, Outpatient medical services,Prescription drugs,Surgical,Vision care,X-Rays,Inpatient mental health services,Outpatient mental health services,Other</t>
  </si>
  <si>
    <t>Acupuncture,Ambulance,Day care (outpatient) treatment,Dental services,Primary care doctor visits,Specialist doctor visits,Telemedicine,Hospital,ICU,Lab work, Maternity,Outpatient medical services,Prescription drugs,Surgical,Vaccination shots,Vision care,X-Rays,Inpatient mental health services,Outpatient mental health services</t>
  </si>
  <si>
    <t>Acupuncture,Ambulance,Dental services,Telemedicine,Hospital,ICU,Lab work, Outpatient medical services,Prescription drugs,Surgical,X-Rays,Outpatient mental health services</t>
  </si>
  <si>
    <t>Ambulance,Day care (outpatient) treatment,Specialist doctor visits,Telemedicine, Hospital,Outpatient medical services,Surgical,Inpatient mental health services, Outpatient mental health services</t>
  </si>
  <si>
    <t>Acupuncture,Ambulance,Annual check-ups or exams (all employees),Annual check-ups or exams (executives or managers only),Day care (outpatient) treatment, Specialist doctor visits,Telemedicine,Hospital,ICU,Lab work,Maternity,Outpatient medical services,Post hospitalization expenses,Pre hospitalization expenses, Prescription drugs,Surgical,X-Rays,Inpatient mental health services,Outpatient mental health services,Other</t>
  </si>
  <si>
    <t>Day care (outpatient) treatment,Specialist doctor visits,Telemedicine,Hospital, ICU,Lab work,Outpatient medical services,Post hospitalization expenses,Pre hospitalization expenses,Surgical,X-Rays,Outpatient mental health services</t>
  </si>
  <si>
    <t>Acupuncture,Ambulance,Annual check-ups or exams (all employees),Day care (outpatient) treatment,Dental services,Primary care doctor visits,Specialist doctor visits,Telemedicine,Hospital,ICU,Maternity,Outpatient medical services,Post hospitalization expenses,Pre hospitalization expenses,Prescription drugs, Surgical,Vision care,X-Rays,Inpatient mental health services,Outpatient mental health services</t>
  </si>
  <si>
    <t>Annual check-ups or exams (all employees),Day care (outpatient) treatment,Dental services,Primary care doctor visits,Specialist doctor visits,Telemedicine, Hospital,ICU,Lab work,Outpatient medical services,Post hospitalization expenses,Pre hospitalization expenses,Surgical,X-Rays,Inpatient mental health services,Outpatient mental health services</t>
  </si>
  <si>
    <t>Routine follow up consultations and associated diagnostic tests with a specialist to  monitor the on- going control of a  specified chronic condition Up to £1,500 in a year. Maternity is only covered for medical conditions.</t>
  </si>
  <si>
    <t>Specialists advising on COVID-19,Specialists advising on non-COVID-19 medical conditions, Mental health specialists</t>
  </si>
  <si>
    <t>100 pounds Cash benefit for incidental expenses. Pay for the eligible treatment of : Miscarriage; still birth; hydatidiform mole; fetus growing outside the womb; post partum hemorrhage.
Also pay for eligible treatment of an acute condition of the member: the treatment is required due to a flare up of the medical condition; the treatment is likely to lead quickly to a complete recovery</t>
  </si>
  <si>
    <t>&gt;Pregnancy and childbirth
As pregnancy and childbirth are not medical conditions and because the NHS
provides for them, our cover is limited.
We don’t cover the checks or other interventions, such as antenatal and
postnatal monitoring and screening, which you will have during pregnancy and
birth.
What is covered during pregnancy and childbirth?
We will cover the additional costs for treatment of medical conditions that
arise during your current pregnancy or childbirth. For example:
- ectopic pregnancy (pregnancy where the embryo or fetus grows outside the
womb)
- hydatidiform mole (abnormal cell growth in the womb)
- retained placenta (afterbirth retained in the womb)
- eclampsia (a coma or seizure during pregnancy and following pre-eclampsia)
- post partum hemorrhage (heavy bleeding in the hours and days immediately
after childbirth)
- miscarriage requiring immediate surgical treatment.</t>
  </si>
  <si>
    <t xml:space="preserve">N = </t>
  </si>
  <si>
    <t>Annual Executive Physical Reimbursement up to USD 2,500</t>
  </si>
  <si>
    <t>Dependents cost are not covered</t>
  </si>
  <si>
    <t>Diagnostic and preventive (includes X-rays, exams, cleaning, sealants), Amalgam filling,Root canal -  molar,Gingivectomy,Extraction – single tooth, exposed root or erupted,Extraction – complete bony,Crown – porcelain with metal,Medically necessary</t>
  </si>
  <si>
    <t>Diagnostic and preventive (includes X-rays, exams, cleaning, sealants), Amalgam filling,Root canal -  molar,Gingivectomy,Extraction – single tooth, exposed root or erupted,Crown – porcelain with metal,Medically necessary</t>
  </si>
  <si>
    <t>Diagnostic and preventive (includes X-rays, exams, cleaning, sealants), Root canal -  molar,Extraction – single tooth, exposed root or erupted,Crown – porcelain with metal,Medically necessary,Other, please specify</t>
  </si>
  <si>
    <t>Diagnostic and preventive (includes X-rays, exams, cleaning, sealants), Amalgam filling,Root canal -  molar,Gingivectomy,Extraction - single tooth, exposed root or erupted,Extraction - complete bony,Crown - porcelain with metal,Medically necessary</t>
  </si>
  <si>
    <t>Diagnostic and preventive (includes X-rays, exams, cleaning, sealants), Amalgam filling,Root canal -  molar,Extraction – single tooth, exposed root or erupted,Medically necessary</t>
  </si>
  <si>
    <t>Diagnostic and preventive (includes X-rays, exams, cleaning, sealants), Amalgam filling,Extraction – single tooth, exposed root or erupted,Medically necessary</t>
  </si>
  <si>
    <t>Diagnostic and preventive (includes X-rays, exams, cleaning, sealants), Amalgam filling,Root canal -  molar,Extraction – single tooth, exposed root or erupted,Crown – porcelain with metal,Medically necessary</t>
  </si>
  <si>
    <t>Diagnostic and preventive (includes X-rays, exams, cleaning, sealants), Amalgam filling,Root canal -  molar,Extraction – single tooth, exposed root or erupted,Extraction – complete bony,Crown – porcelain with metal,Medically necessary</t>
  </si>
  <si>
    <t>Diagnostic and preventive (includes X-rays, exams, cleaning, sealants), Root canal -  molar,Extraction – single tooth, exposed root or erupted,Extraction – complete bony,Crown – porcelain with metal,Medically necessary</t>
  </si>
  <si>
    <t>Diagnostic and preventive (includes X-rays, exams, cleaning, sealants), Root canal -  molar,Extraction – single tooth, exposed root or erupted,Extraction – complete bony,Crown – porcelain with metal, Medically necessary</t>
  </si>
  <si>
    <t>Diagnostic and preventive (includes X-rays, exams, cleaning, sealants), Amalgam filling,Root canal -  molar,Extraction – single tooth, exposed root or erupted,Medically necessary,Other, please specify</t>
  </si>
  <si>
    <t>Diagnostic and preventive (includes X-rays, exams, cleaning, sealants), Amalgam filling,Root canal -  molar,Gingivectomy,Extraction – single tooth, exposed root or erupted,Medically necessary</t>
  </si>
  <si>
    <t>Diagnostic and preventive (includes X-rays, exams, cleaning, sealants), Amalgam filling,Root canal -  molar,Gingivectomy,Extraction – single tooth, exposed root or erupted,Extraction – complete bony,Crown – porcelain with metal</t>
  </si>
  <si>
    <t>Diagnostic and preventive (includes X-rays, exams, cleaning, sealants), Amalgam filling,Root canal -  molar,Gingivectomy,Extraction – single tooth, exposed root or erupted,Extraction – complete bony,Crown – porcelain with metal,Other, please specify</t>
  </si>
  <si>
    <t>Diagnostic and preventive (includes X-rays, exams, cleaning, sealants), Amalgam filling,Root canal -  molar,Gingivectomy,Extraction – single tooth, exposed root or erupted,Extraction – complete bony,Crown – porcelain with metal,Medically necessary,Other, please specify</t>
  </si>
  <si>
    <t>Diagnostic and preventive (includes X-rays, exams, cleaning, sealants), Amalgam filling,Extraction – single tooth, exposed root or erupted,Extraction – complete bony,Crown – porcelain with metal,Medically necessary</t>
  </si>
  <si>
    <t>Diagnostic and preventive (includes X-rays, exams, cleaning, sealants), Amalgam filling,Root canal -  molar,Extraction – single tooth, exposed root or erupted,Extraction – complete bony,Crown – porcelain with metal</t>
  </si>
  <si>
    <t>Diagnostic and preventive (includes X-rays, exams, cleaning, sealants), Amalgam filling,Root canal -  molar,Extraction – single tooth, exposed root or erupted,Crown – porcelain with metal</t>
  </si>
  <si>
    <t>The company funds the employee, dependents added at cost to the employee</t>
  </si>
  <si>
    <t>Only certain Corporate employees</t>
  </si>
  <si>
    <t>we offer 400,000 USD depending on the serious injury</t>
  </si>
  <si>
    <t>Base,Retirement contributions, Allowances</t>
  </si>
  <si>
    <t>Salary continuation during sickness. The length of the payment depends on the yrs of service.</t>
  </si>
  <si>
    <t>This is a self-insured short term sick leave/disability policy, prior to the employee being placed on the self-insured long term disability policy.</t>
  </si>
  <si>
    <t>deferred period of 12 months of which we pay 100% salary and then the insurance takes over</t>
  </si>
  <si>
    <t>insured occupation. Insured Occupation means the trade, profession or general role the member was actively undertaking for, or at, the employer before incapacity.</t>
  </si>
  <si>
    <t>Company will match your contributions up to a maximum of 7% of your gross basic salary.</t>
  </si>
  <si>
    <t>Scottish Widows Balanced (Targeting Flexi Access)Investment Approach</t>
  </si>
  <si>
    <t>A GPP Plan with contractually enrolment into the pension from the first day of employment. Min salary sacrifice contribution of 4% of base salary matched by a 6% of employer contribution. The other contribution levels 5% employee matched by 7% employer to the highest match of 6% for an 8% employer contribution. In addition, Company will also share half of the employer National Insurance contribution saving it makes, by uplifting the contribution into the Plan with an extra 6.9% of the amount of the employee salary sacrifice contribution. Company also applies pension contribution matching on earned bonus as a one-off lump sum.</t>
  </si>
  <si>
    <t>Both the employee and employer contribute into the plan and this is then invested into a default fund with Scottish Widows.  Employees then have the option to switch and invest into a different fund tailored to meet their needs.  They can them take their pension from the age of 55 or when they decide to retire after that age.</t>
  </si>
  <si>
    <t>Company operates a Defined Contribution Pension plan with a Pension arrangement (referred to as a salary sacrifice arrangement by HMRC).
Participating employees must contribute a percentage of pensionable salary. The minimum employee contribution is 4.5%, and Company will match the employee's contribution up to a maximum of 5%. All contributions are made on a pre-tax basis.</t>
  </si>
  <si>
    <t>Defined Contribution Master Trust, as part of Provider Offering. (Standard Life)</t>
  </si>
  <si>
    <t>Perks and allowances offered</t>
  </si>
  <si>
    <t>Have perks and allowances only executives are eligible to participate in</t>
  </si>
  <si>
    <t>Description of perks and allowances only executives are eligible to participate in</t>
  </si>
  <si>
    <t>Perks &amp; Allowances</t>
  </si>
  <si>
    <t xml:space="preserve">Social support network,Campaigns promoting the importance of mental health (e.g., webinars, workshops, etc.),Webinars on wellness topics, Virtual medical services available 24/7 </t>
  </si>
  <si>
    <t xml:space="preserve">Webinars on wellness topics,Transparent and timely communication in the organization,Virtual medical services available 24/7,Incentives for participating in wellness programs </t>
  </si>
  <si>
    <t>Campaigns promoting the importance of mental health (e.g., webinars, workshops, etc.),Webinars on wellness topics,Virtual medical services available 24/7,Other, please specify</t>
  </si>
  <si>
    <t xml:space="preserve">Social support network,Campaigns promoting the importance of mental health (e.g., webinars, workshops, etc.),Mental health topics included in executive and manager leadership training,Webinars on wellness topics,Transparent and timely communication in the organization,Virtual medical services available 24/7,Incentives for participating in wellness programs </t>
  </si>
  <si>
    <t xml:space="preserve">Social support network,Campaigns promoting the importance of mental health (e.g., webinars, workshops, etc.),Webinars on wellness topics, Virtual medical services available 24/7,Incentives for participating in wellness programs </t>
  </si>
  <si>
    <t xml:space="preserve">Campaigns promoting the importance of mental health (e.g., webinars, workshops, etc.),Transparent and timely communication in the organization,Virtual medical services available 24/7,Incentives for participating in wellness programs </t>
  </si>
  <si>
    <t>Focus group discussions, Employee engagement activities, Survey</t>
  </si>
  <si>
    <t>Employee engagement activities, Perks and benefits,Survey</t>
  </si>
  <si>
    <t>Employee engagement activities, Open door policy,Monetary bonus and incentives,Perks and benefits, Survey</t>
  </si>
  <si>
    <t>Focus group discussions, Employee engagement activities, Monetary bonus and incentives, Perks and benefits,Survey</t>
  </si>
  <si>
    <t>Employee engagement activities, Monetary bonus and incentives, Perks and benefits,Survey</t>
  </si>
  <si>
    <t>Open door policy,Monetary bonus and incentives,Perks and benefits, Survey</t>
  </si>
  <si>
    <t>Employee engagement activities, Survey</t>
  </si>
  <si>
    <t>Employee engagement activities, Perks and benefits</t>
  </si>
  <si>
    <t>Focus group discussions, Employee engagement activities, Open door policy,Monetary bonus and incentives,Perks and benefits, Survey</t>
  </si>
  <si>
    <t>Employee engagement activities, Open door policy,Perks and benefits,Survey</t>
  </si>
  <si>
    <t>Employee engagement activities, Open door policy,Survey</t>
  </si>
  <si>
    <t>Focus group discussions, Employee engagement activities, Open door policy,Perks and benefits,Survey</t>
  </si>
  <si>
    <t>Focus group discussions, Employee engagement activities, Open door policy,Perks and benefits, Survey</t>
  </si>
  <si>
    <t>Focus group discussions,Open door policy,Perks and benefits, Survey</t>
  </si>
  <si>
    <t>Monetary bonus and incentives, Perks and benefits</t>
  </si>
  <si>
    <t>Focus group discussions, Employee engagement activities, Open door policy,Survey</t>
  </si>
  <si>
    <t>Employee engagement activities, Open door policy</t>
  </si>
  <si>
    <t>Providing opportunity for training and personal development, Effective communication between all levels of the organization</t>
  </si>
  <si>
    <t>Flexible work policies,Immunizations or vaccinations,Health risk assessment, Wellness/Wellbeing allowance,Healthy workplace environment,Nurse line or other health decision phone support,Occupational health programs,Healthy lifestyle programs and coaching,Stress management or resilience building programs, Work/Life balance support</t>
  </si>
  <si>
    <t>Flexible work policies,Health risk assessment,Wellness/Wellbeing allowance, Healthy workplace environment,Nurse line or other health decision phone support,Healthy workplace design,Occupational health programs,Healthy lifestyle programs and coaching,Chronic disease management support or coaching,Stress management or resilience building programs,Work/Life balance support,Treatment support</t>
  </si>
  <si>
    <t>Immunizations or vaccinations,Biometric health screenings,Health risk assessment, Wellness/Wellbeing allowance,Healthy workplace environment,Healthy workplace design,Occupational health programs,Healthy lifestyle programs and coaching, Chronic disease management support or coaching</t>
  </si>
  <si>
    <t>Flexible work policies,Immunizations or vaccinations,Health risk assessment, Healthy workplace environment,Employee health fairs,Workplace health challenges or competitions,Healthy workplace design,Work/Life balance support</t>
  </si>
  <si>
    <t>Flexible work policies,Immunizations or vaccinations,Health risk assessment, Wellness/Wellbeing allowance,Healthy workplace environment,Nurse line or other health decision phone support,Workplace health challenges or competitions,Healthy workplace design,Healthy lifestyle programs and coaching,Stress management or resilience building programs,Work/Life balance support,Treatment support</t>
  </si>
  <si>
    <t>Flexible work policies,Immunizations or vaccinations,Biometric health screenings, Health risk assessment,Healthy workplace environment,Nurse line or other health decision phone support,Workplace health challenges or competitions,Healthy workplace design,Occupational health programs,Healthy lifestyle programs and coaching,Chronic disease management support or coaching,Stress management or resilience building programs,Work/Life balance support,Fitness center</t>
  </si>
  <si>
    <t>Flexible work policies,Health risk assessment,Healthy workplace environment,Nurse line or other health decision phone support,Employee health fairs,Healthy workplace design,Occupational health programs,Healthy lifestyle programs and coaching, Stress management or resilience building programs,Work/Life balance support,Treatment support</t>
  </si>
  <si>
    <t>Flexible work policies,Health risk assessment,Wellness/Wellbeing allowance, Healthy workplace environment,Workplace health challenges or competitions,Healthy workplace design,Occupational health programs,Healthy lifestyle programs and coaching,Stress management or resilience building programs,Work/Life balance support,Fitness center</t>
  </si>
  <si>
    <t>Flexible work policies,Biometric health screenings,Health risk assessment, Wellness/Wellbeing allowance,Healthy workplace environment,Nurse line or other health decision phone support,Employee health fairs,Workplace health challenges or competitions,Healthy workplace design,Occupational health programs,Healthy lifestyle programs and coaching,Chronic disease management support or coaching,Stress management or resilience building programs,Work/Life balance support,Fitness center,Treatment support</t>
  </si>
  <si>
    <t>Flexible work policies,Immunizations or vaccinations,Biometric health screenings, Healthy workplace environment,Nurse line or other health decision phone support,Healthy workplace design,Occupational health programs,Healthy lifestyle programs and coaching,Chronic disease management support or coaching,Stress management or resilience building programs,Work/Life balance support,Fitness center,Treatment support</t>
  </si>
  <si>
    <t>Flexible work policies,Immunizations or vaccinations,Biometric health screenings, Nurse line or other health decision phone support</t>
  </si>
  <si>
    <t>Flexible work policies,Biometric health screenings,Healthy workplace environment, Employee health fairs,Occupational health programs,Work/Life balance support, Fitness center</t>
  </si>
  <si>
    <t>Flexible work policies,Immunizations or vaccinations,Biometric health screenings, Health risk assessment,Wellness/Wellbeing allowance,Healthy workplace environment,Nurse line or other health decision phone support,Workplace health challenges or competitions,Healthy workplace design,Occupational health programs,Stress management or resilience building programs,Work/Life balance support,Treatment support</t>
  </si>
  <si>
    <t>Flexible work policies,Health risk assessment,Wellness/Wellbeing allowance, Employee health fairs,Workplace health challenges or competitions,Healthy lifestyle programs and coaching,Stress management or resilience building programs, Work/Life balance support</t>
  </si>
  <si>
    <t>Flexible work policies,Immunizations or vaccinations,Health risk assessment, Wellness/Wellbeing allowance,Healthy workplace environment,Nurse line or other health decision phone support,Employee health fairs,Healthy workplace design, Healthy lifestyle programs and coaching,Work/Life balance support,Fitness center</t>
  </si>
  <si>
    <t>Flexible work policies,Immunizations or vaccinations,Health risk assessment, Wellness/Wellbeing allowance,Healthy workplace environment,Nurse line or other health decision phone support,Workplace health challenges or competitions,Healthy workplace design,Occupational health programs,Healthy lifestyle programs and coaching,Stress management or resilience building programs,Work/Life balance support,Fitness center,Treatment support</t>
  </si>
  <si>
    <t>Flexible work policies,Wellness/Wellbeing allowance,Healthy workplace environment,Employee health fairs,Workplace health challenges or competitions, Healthy workplace design,Healthy lifestyle programs and coaching,Stress management or resilience building programs,Work/Life balance support</t>
  </si>
  <si>
    <t>Flexible work policies,Health risk assessment,Wellness/Wellbeing allowance, Employee health fairs,Healthy workplace design,Occupational health programs, Healthy lifestyle programs and coaching,Chronic disease management support or coaching,Stress management or resilience building programs,Work/Life balance support,Fitness center,Treatment support</t>
  </si>
  <si>
    <t>Flexible work policies,Immunizations or vaccinations,Health risk assessment, Healthy workplace environment,Nurse line or other health decision phone support,Workplace health challenges or competitions,Healthy workplace design,Stress management or resilience building programs,Work/Life balance support</t>
  </si>
  <si>
    <t>Flexible work policies,Health risk assessment,Wellness/Wellbeing allowance, Healthy workplace environment,Nurse line or other health decision phone support,Employee health fairs,Workplace health challenges or competitions, Occupational health programs,Healthy lifestyle programs and coaching,Work/Life balance support,Treatment support</t>
  </si>
  <si>
    <t>Biometric health screenings,Health risk assessment,Healthy workplace environment,Nurse line or other health decision phone support,Employee health fairs,Workplace health challenges or competitions,Healthy workplace design, Occupational health programs</t>
  </si>
  <si>
    <t>Flexible work policies,Immunizations or vaccinations,Health risk assessment, Healthy workplace environment,Nurse line or other health decision phone support,Workplace health challenges or competitions,Healthy workplace design,Occupational health programs,Healthy lifestyle programs and coaching, Stress management or resilience building programs,Work/Life balance support,Other, please specify</t>
  </si>
  <si>
    <t>Flexible work policies,Immunizations or vaccinations,Biometric health screenings,Health risk assessment,Wellness/Wellbeing allowance,Healthy workplace environment,Nurse line or other health decision phone support,Employee health fairs,Workplace health challenges or competitions,Healthy workplace design,Occupational health programs,Healthy lifestyle programs and coaching, Stress management or resilience building programs,Work/Life balance support,Fitness center</t>
  </si>
  <si>
    <t>Flexible work policies,Immunizations or vaccinations,Health risk assessment, Wellness/Wellbeing allowance,Healthy workplace environment,Nurse line or other health decision phone support,Workplace health challenges or competitions,Healthy workplace design,Occupational health programs,Healthy lifestyle programs and coaching,Stress management or resilience building programs,Work/Life balance support</t>
  </si>
  <si>
    <t>Flexible work policies,Immunizations or vaccinations,Health risk assessment, Healthy workplace environment,Work/Life balance support</t>
  </si>
  <si>
    <t>Flexible work policies,Immunizations or vaccinations,Biometric health screenings, Health risk assessment,Healthy workplace environment,Employee health fairs,Workplace health challenges or competitions,Healthy workplace design, Occupational health programs,Healthy lifestyle programs and coaching,Stress management or resilience building programs,Work/Life balance support,Fitness center,Treatment support</t>
  </si>
  <si>
    <t>Health fair,Onsite clinic,Offsite, Telephonic,Webinar</t>
  </si>
  <si>
    <t>Onsite clinic,Offsite,Telephonic, Webinar</t>
  </si>
  <si>
    <t>We have a mindfullness app, textbased coaching and an EAP plan. We use internal employee platforms to talk about this service.</t>
  </si>
  <si>
    <t>Health fair,Offsite,Telephonic, Webinar</t>
  </si>
  <si>
    <t>we offer 5 days per year for employee wellbeing (separate to annual leave), quarterly wellbeing allowances to use on sport/massage/food/treats and a comprehensive programme of events on everything from financial wellness to nutrition.</t>
  </si>
  <si>
    <t>We have a UK employee support service online platform &amp; 24/7 telephone line as a rider to our Life/Group Income insurances with Canada Life</t>
  </si>
  <si>
    <t>articles, marketing campaigns, the company provides a tracking device to all the employees to tract their daily activities</t>
  </si>
  <si>
    <t>Employee feedback,Formal survey, Metrics in place to measure increase in productivity, retention, overall engagement</t>
  </si>
  <si>
    <t>Health risk assessment,Healthy lifestyle programs and coaching, Stress management or resilience building programs,Work/Life balance support</t>
  </si>
  <si>
    <t>Earn points which can be used to purchase items from online store</t>
  </si>
  <si>
    <t>Flexible work policies, Wellness/Wellbeing allowance</t>
  </si>
  <si>
    <t>Flexible work policies, Immunizations or vaccinations, Wellness/Wellbeing allowance, Healthy workplace environment, Workplace health challenges or competitions,Healthy workplace design,Healthy lifestyle programs and coaching,Work/Life balance support</t>
  </si>
  <si>
    <t>Retirement planning tools and calculators,Voluntary benefits, Promoting money management vs. saving</t>
  </si>
  <si>
    <t>Retirement planning tools and calculators,Voluntary benefits, Financial counseling,Other, please specify</t>
  </si>
  <si>
    <t>Retirement planning tools and calculators,Voluntary benefits, Other, please specify</t>
  </si>
  <si>
    <t>Retirement planning tools and calculators,Voluntary benefits, Personal financial advisor,Financial counseling</t>
  </si>
  <si>
    <t>Retirement planning tools and calculators,Voluntary benefits, Financial health assessments</t>
  </si>
  <si>
    <t>Benefits team,HR,Senior leader, Facilities</t>
  </si>
  <si>
    <t>Benefits team,HR,Communications</t>
  </si>
  <si>
    <t>Employee health and safety team, Benefits team,HR,Senior leader, Communications,Facilities</t>
  </si>
  <si>
    <t>Employee health and safety team,Benefits team,HR,Senior leader,Communications,Facilities</t>
  </si>
  <si>
    <t>Benefits team,HR,Senior leader,Communications,Facilities</t>
  </si>
  <si>
    <t>Open Up Campaign, using art installations to tell stories, and break down stigma. Seminars. Workshops. Group activities. Community events. Drop in support in centres.</t>
  </si>
  <si>
    <t xml:space="preserve">Individual or group counseling and education services sessions with professionals,Campaigns promoting the importance of mental health (e.g., webinars, workshops, etc.),Mental health topics included in executive and manager leadership training,Webinars on wellness topics,Virtual medical services available 24/7 </t>
  </si>
  <si>
    <t xml:space="preserve">Individual or group counseling and education services sessions with professionals,Campaigns promoting the importance of mental health (e.g., webinars, workshops, etc.),Mental health topics included in executive and manager leadership training,Webinars on wellness topics,Transparent and timely communication in the organization,Virtual medical services available 24/7 </t>
  </si>
  <si>
    <t xml:space="preserve">Individual or group counseling and education services sessions with professionals,Social support network,Campaigns promoting the importance of mental health (e.g., webinars, workshops, etc.),Mental health topics included in executive and manager leadership training, Webinars on wellness topics,Transparent and timely communication in the organization,Virtual medical services available 24/7 </t>
  </si>
  <si>
    <t xml:space="preserve">Individual or group counseling and education services sessions with professionals,Campaigns promoting the importance of mental health (e.g., webinars, workshops, etc.),Mental health topics included in executive and manager leadership training,Webinars on wellness topics,Transparent and timely communication in the organization,Virtual medical services available 24/7,Incentives for participating in wellness programs </t>
  </si>
  <si>
    <t xml:space="preserve">Individual or group counseling and education services sessions with professionals,Social support network,Campaigns promoting the importance of mental health (e.g., webinars, workshops, etc.),Webinars on wellness topics,Incentives for participating in wellness programs </t>
  </si>
  <si>
    <t xml:space="preserve">Individual or group counseling and education services sessions with professionals,Social support network,Campaigns promoting the importance of mental health (e.g., webinars, workshops, etc.),Mental health topics included in executive and manager leadership training, Webinars on wellness topics,Transparent and timely communication in the organization,Virtual medical services available 24/7,Incentives for participating in wellness programs </t>
  </si>
  <si>
    <t>Individual or group counseling and education services sessions with professionals,Social support network,Webinars on wellness topics,Transparent and timely communication in the organization</t>
  </si>
  <si>
    <t xml:space="preserve">Individual or group counseling and education services sessions with professionals,Campaigns promoting the importance of mental health (e.g., webinars, workshops, etc.),Webinars on wellness topics, Transparent and timely communication in the organization,Virtual medical services available 24/7 </t>
  </si>
  <si>
    <t xml:space="preserve">Individual or group counseling and education services sessions with professionals,Social support network,Campaigns promoting the importance of mental health (e.g., webinars, workshops, etc.),Webinars on wellness topics,Virtual medical services available 24/7,Incentives for participating in wellness programs </t>
  </si>
  <si>
    <t xml:space="preserve">Individual or group counseling and education services sessions with professionals,Campaigns promoting the importance of mental health (e.g., webinars, workshops, etc.),Webinars on wellness topics,Virtual medical services available 24/7 </t>
  </si>
  <si>
    <t xml:space="preserve">Individual or group counseling and education services sessions with professionals,Social support network,Campaigns promoting the importance of mental health (e.g., webinars, workshops, etc.),Mental health topics included in executive and manager leadership training, Webinars on wellness topics,Virtual medical services available 24/7 </t>
  </si>
  <si>
    <t>Individual or group counseling and education services sessions with professionals,Campaigns promoting the importance of mental health (e.g., webinars, workshops, etc.),Webinars on wellness topics,Virtual medical services available 24/7,Other, please specify</t>
  </si>
  <si>
    <t xml:space="preserve">Individual or group counseling and education services sessions with professionals,Virtual medical services available 24/7 </t>
  </si>
  <si>
    <t xml:space="preserve">Individual or group counseling and education services sessions with professionals,Mental health topics included in executive and manager leadership training,Webinars on wellness topics,Virtual medical services available 24/7 </t>
  </si>
  <si>
    <t xml:space="preserve">Individual or group counseling and education services sessions with professionals,Social support network,Campaigns promoting the importance of mental health (e.g., webinars, workshops, etc.),Webinars on wellness topics,Virtual medical services available 24/7 </t>
  </si>
  <si>
    <t>Individual or group counseling and education services sessions with professionals,Social support network,Campaigns promoting the importance of mental health (e.g., webinars, workshops, etc.),Webinars on wellness topics,Transparent and timely communication in the organization</t>
  </si>
  <si>
    <t xml:space="preserve">Individual or group counseling and education services sessions with professionals,Social support network,Campaigns promoting the importance of mental health (e.g., webinars, workshops, etc.),Webinars on wellness topics,Transparent and timely communication in the organization,Virtual medical services available 24/7 </t>
  </si>
  <si>
    <t>Individual or group counseling and education services sessions with professionals,Campaigns promoting the importance of mental health (e.g., webinars, workshops, etc.),Mental health topics included in executive and manager leadership training,Webinars on wellness topics</t>
  </si>
  <si>
    <t>Individual or group counseling and education services sessions with professionals,Social support network,Campaigns promoting the importance of mental health (e.g., webinars, workshops, etc.),Mental health topics included in executive and manager leadership training, Webinars on wellness topics,Transparent and timely communication in the organization,Other, please specify</t>
  </si>
  <si>
    <t>Individual or group counseling and education services sessions with professionals,Social support network,Campaigns promoting the importance of mental health (e.g., webinars, workshops, etc.),Mental health topics included in executive and manager leadership training, Webinars on wellness topics,Transparent and timely communication in the organization,Virtual medical services available 24/7,Other, please specify</t>
  </si>
  <si>
    <t xml:space="preserve">Individual or group counseling and education services sessions with professionals,Campaigns promoting the importance of mental health (e.g., webinars, workshops, etc.),Mental health topics included in executive and manager leadership training,Webinars on wellness topics,Virtual medical services available 24/7,Incentives for participating in wellness programs </t>
  </si>
  <si>
    <t>MyStrength - provides online self guided, individualised programmes on areas including anxiety, depression, mindfulness, sleep improvement and stress amongst others.</t>
  </si>
  <si>
    <t>Personal issues,Childcare,Eldercare,Relationship issues, Parenting issues,Harassment,Substance abuse,Separation and loss,Balancing work and family,Financial or legal, Family violence</t>
  </si>
  <si>
    <t>Personal issues,Job stress,Childcare,Eldercare, Relationship issues,Parenting issues,Harassment, Substance abuse,Separation and loss,Balancing work and family,Financial or legal,Family violence,Manager support</t>
  </si>
  <si>
    <t>Personal issues,Job stress,Childcare,Eldercare, Relationship issues,Parenting issues,Harassment, Substance abuse,Separation and loss,Balancing work and family,Financial or legal,Family violence,Manager support, Other, please specify</t>
  </si>
  <si>
    <t>Personal issues,Job stress,Childcare,Eldercare, Relationship issues,Parenting issues,Substance abuse, Separation and loss,Balancing work and family,Financial or legal,Family violence</t>
  </si>
  <si>
    <t>Personal issues,Job stress,Childcare,Eldercare, Relationship issues,Parenting issues,Harassment, Substance abuse,Separation and loss,Balancing work and family,Financial or legal,Family violence</t>
  </si>
  <si>
    <t>Personal issues,Job stress,Childcare,Eldercare, Relationship issues,Parenting issues,Harassment, Separation and loss,Balancing work and family,Financial or legal,Family violence,Manager support</t>
  </si>
  <si>
    <t>Personal issues,Job stress,Childcare,Eldercare, Relationship issues,Parenting issues,Harassment, Separation and loss,Balancing work and family,Financial or legal,Manager support</t>
  </si>
  <si>
    <t>Personal issues,Job stress,Childcare,Relationship issues, Parenting issues,Harassment,Substance abuse,Separation and loss,Balancing work and family,Financial or legal, Family violence,Manager support</t>
  </si>
  <si>
    <t>Personal issues,Job stress,Balancing work and family, Financial or legal</t>
  </si>
  <si>
    <t>Personal issues,Job stress,Eldercare,Relationship issues, Parenting issues,Substance abuse,Financial or legal, Family violence</t>
  </si>
  <si>
    <t>Personal issues,Job stress,Childcare,Relationship issues, Parenting issues,Balancing work and family,Other, please specify</t>
  </si>
  <si>
    <t>Personal issues,Job stress,Childcare,Eldercare, Relationship issues,Parenting issues,Substance abuse, Separation and loss,Balancing work and family,Manager support</t>
  </si>
  <si>
    <t>Personal issues,Job stress,Childcare,Relationship issues, Harassment,Substance abuse,Separation and loss, Financial or legal</t>
  </si>
  <si>
    <t>Personal issues,Job stress,Childcare,Eldercare, Relationship issues,Parenting issues,Harassment, Separation and loss,Balancing work and family,Manager support</t>
  </si>
  <si>
    <t>Phone,Online static resources (articles, white papers, etc.), Online dynamic resources (assessments, videos, webinars, exercises, etc.),Virtual counseling visits,In-person counseling visits</t>
  </si>
  <si>
    <t>Phone,Online static resources (articles, white papers, etc.), Online dynamic resources (assessments, videos, webinars, exercises, etc.),Virtual counseling visits</t>
  </si>
  <si>
    <t>Phone,Online static resources (articles, white papers, etc.), Virtual counseling visits,In-person counseling visits,Other, please specify</t>
  </si>
  <si>
    <t>Phone,Online static resources (articles, white papers, etc.), Online dynamic resources (assessments, videos, webinars, exercises, etc.),In-person counseling visits</t>
  </si>
  <si>
    <t>Phone,Online static resources (articles, white papers, etc.), Virtual counseling visits</t>
  </si>
  <si>
    <t>Phone,Online static resources (articles, white papers, etc.), Online dynamic resources (assessments, videos, webinars, exercises, etc.)</t>
  </si>
  <si>
    <t>Phone,Virtual counseling visits,In-person counseling visits, Other, please specify</t>
  </si>
  <si>
    <t>Phone,Online static resources (articles, white papers, etc.), Online dynamic resources (assessments, videos, webinars, exercises, etc.),Virtual counseling visits,In-person counseling visits,Other, please specify</t>
  </si>
  <si>
    <t>Modern Health: - Unlimited access to Modern Health’s digital content, guided meditations and secure chat with a coach -Access to eight (8) coaching sessions per year -	Access to eight (8) therapist session per year</t>
  </si>
  <si>
    <t>One of the things I love the most about Company is it's focus on reducing the stigma associated with mental health. I truly believe that because of the work carried out, EAP in place, wellness focus groups, support networks etc it would be really difficult for someone working at Company to still have any stigma around mental health.</t>
  </si>
  <si>
    <t>Ordinary maternity,Enhanced paternity,Adoption,Sick, Marriage,Bereavement/Funeral,Jury service,Study,Unpaid leave</t>
  </si>
  <si>
    <t>Annual/Privilege,Ordinary maternity,Additional maternity, Enhanced paternity,Shared parental,Parental,Adoption, Caregiver,Sick,Marriage,Bereavement/Funeral,Jury service, Charity projects,Sabbatical</t>
  </si>
  <si>
    <t>Annual/Privilege,Ordinary maternity,Parental,Sick, Bereavement/Funeral,Unpaid leave</t>
  </si>
  <si>
    <t>Annual/Privilege,Ordinary maternity,Additional maternity, Shared parental,Parental,Adoption,Sick, Bereavement/Funeral,Jury service,Unpaid leave,Other</t>
  </si>
  <si>
    <t>Annual/Privilege,Ordinary maternity,Shared parental, Parental,Adoption,Sick,Bereavement/Funeral, Military/Reserve,Jury service,Unpaid leave</t>
  </si>
  <si>
    <t>Annual/Privilege,Ordinary maternity,Additional maternity, Parental,Caregiver,Sick,Bereavement/Funeral,Jury service, Unpaid leave</t>
  </si>
  <si>
    <t>Annual/Privilege,Ordinary maternity,Additional maternity, Enhanced paternity,Shared parental,Adoption,Sick, Bereavement/Funeral,Jury service,Charity projects,Unpaid leave</t>
  </si>
  <si>
    <t>Annual/Privilege,Enhanced paternity,Adoption,Caregiver, Sick,Bereavement/Funeral,Unpaid leave</t>
  </si>
  <si>
    <t>Annual/Privilege,Ordinary maternity,Additional maternity, Enhanced paternity,Parental,Adoption,Caregiver,Sick, Bereavement/Funeral,Jury service,Study,Charity projects, Sabbatical</t>
  </si>
  <si>
    <t>Annual/Privilege,Ordinary maternity,Additional maternity, Enhanced paternity,Shared parental,Parental,Adoption, Caregiver,Sick,Marriage,Bereavement/Funeral, Military/Reserve,Jury service,Study,Sabbatical,Unpaid leave</t>
  </si>
  <si>
    <t>Annual/Privilege,Ordinary maternity,Additional maternity, Enhanced paternity,Shared parental,Parental,Adoption, Caregiver,Sick,Bereavement/Funeral,Military/Reserve,Jury service,Study,Charity projects,Sabbatical,Unpaid leave</t>
  </si>
  <si>
    <t>Ordinary maternity,Additional maternity,Enhanced paternity, Shared parental,Parental,Adoption,Caregiver,Sick, Bereavement/Funeral,Military/Reserve,Jury service,Charity projects,Other</t>
  </si>
  <si>
    <t>Annual/Privilege,Ordinary maternity,Additional maternity, Enhanced paternity,Shared parental,Parental,Adoption, Caregiver,Sick,Bereavement/Funeral,Jury service,Charity projects,Unpaid leave,Other</t>
  </si>
  <si>
    <t>Ordinary maternity,Additional maternity,Enhanced paternity, Shared parental,Parental,Adoption,Caregiver,Sick, Bereavement/Funeral,Military/Reserve,Jury service,Study, Charity projects,Unpaid leave</t>
  </si>
  <si>
    <t>Annual/Privilege,Ordinary maternity,Enhanced paternity, Adoption,Sick,Marriage,Bereavement/Funeral, Military/Reserve,Jury service,Study,Unpaid leave</t>
  </si>
  <si>
    <t>Ordinary maternity,Additional maternity,Enhanced paternity, Adoption,Marriage,Bereavement/Funeral</t>
  </si>
  <si>
    <t>Annual/Privilege,Ordinary maternity,Additional maternity, Parental,Sick,Bereavement/Funeral</t>
  </si>
  <si>
    <t>Annual/Privilege,Ordinary maternity,Additional maternity, Enhanced paternity,Shared parental,Parental,Adoption, Caregiver,Sick,Bereavement/Funeral,Military/Reserve,Jury service,Charity projects,Unpaid leave</t>
  </si>
  <si>
    <t>Annual/Privilege,Ordinary maternity,Additional maternity, Enhanced paternity,Shared parental,Parental,Adoption, Caregiver,Sick,Marriage,Bereavement/Funeral, Military/Reserve,Jury service,Charity projects,Unpaid leave</t>
  </si>
  <si>
    <t>Annual/Privilege,Ordinary maternity,Additional maternity, Shared parental,Parental,Adoption,Sick,Marriage, Bereavement/Funeral,Military/Reserve,Jury service,Study, Charity projects,Sabbatical,Unpaid leave</t>
  </si>
  <si>
    <t>Annual/Privilege,Ordinary maternity,Additional maternity, Enhanced paternity,Shared parental,Adoption,Sick, Bereavement/Funeral,Jury service</t>
  </si>
  <si>
    <t>Annual/Privilege,Ordinary maternity,Shared parental, Adoption,Sick,Marriage,Bereavement/Funeral</t>
  </si>
  <si>
    <t>Ordinary maternity,Additional maternity,Parental,Adoption, Sick,Bereavement/Funeral,Military/Reserve,Jury service</t>
  </si>
  <si>
    <t>Annual/Privilege,Ordinary maternity,Additional maternity, Enhanced paternity,Shared parental,Parental,Adoption, Caregiver,Sick,Bereavement/Funeral,Unpaid leave</t>
  </si>
  <si>
    <t>Annual/Privilege,Ordinary maternity,Additional maternity, Shared parental,Parental,Adoption,Caregiver,Sick, Bereavement/Funeral,Military/Reserve,Jury service,Study, Charity projects,Sabbatical,Unpaid leave</t>
  </si>
  <si>
    <t>Annual/Privilege,Ordinary maternity,Additional maternity, Enhanced paternity,Parental,Adoption,Sick, Bereavement/Funeral,Jury service,Charity projects</t>
  </si>
  <si>
    <t>Annual/Privilege,Ordinary maternity,Additional maternity, Enhanced paternity,Shared parental,Parental,Adoption, Caregiver,Sick,Marriage,Bereavement/Funeral, Military/Reserve,Jury service,Study,Charity projects,Unpaid leave,Other</t>
  </si>
  <si>
    <t>Annual/Privilege,Ordinary maternity,Parental,Adoption,Sick, Marriage,Bereavement/Funeral,Jury service,Study,Unpaid leave</t>
  </si>
  <si>
    <t>Annual/Privilege,Ordinary maternity,Additional maternity, Enhanced paternity,Shared parental,Parental,Adoption, Sick,Marriage,Bereavement/Funeral,Military/Reserve,Jury service, Unpaid leave</t>
  </si>
  <si>
    <t>Ordinary maternity,Additional maternity,Enhanced paternity, Shared parental,Parental,Adoption,Sick,Marriage, Bereavement/Funeral,Military/Reserve,Jury service,Study, Unpaid leave</t>
  </si>
  <si>
    <t xml:space="preserve">Ordinary maternity,Additional maternity,Enhanced paternity, Shared parental,Parental,Adoption </t>
  </si>
  <si>
    <t>Ordinary maternity,Additional maternity,Enhanced paternity, Shared parental,Adoption,Sick,Bereavement/Funeral,Jury service</t>
  </si>
  <si>
    <t>Annual/Privilege,Ordinary maternity,Additional maternity, Enhanced paternity,Shared parental,Parental,Adoption, Sick,Bereavement/Funeral,Jury service,Other</t>
  </si>
  <si>
    <t>Annual/Privilege,Ordinary maternity,Additional maternity, Enhanced paternity,Shared parental,Parental,Adoption, Caregiver,Sick,Marriage,Bereavement/Funeral,Jury service, Charity projects,Sabbatical,Unpaid leave</t>
  </si>
  <si>
    <t>Ordinary maternity,Additional maternity,Shared parental, Parental,Adoption,Sick,Bereavement/Funeral, Military/Reserve,Jury service,Unpaid leave,Other</t>
  </si>
  <si>
    <t>Annual/Privilege,Ordinary maternity,Additional maternity, Enhanced paternity,Shared parental,Parental,Adoption, Caregiver,Sick,Bereavement/Funeral,Jury service</t>
  </si>
  <si>
    <t>Annual/Privilege,Ordinary maternity,Additional maternity, Enhanced paternity,Shared parental,Parental,Adoption, Caregiver,Sick,Bereavement/Funeral,Jury service,Unpaid leave</t>
  </si>
  <si>
    <t>Ordinary maternity,Additional maternity,Shared parental, Parental,Adoption,Sick,Bereavement/Funeral,Jury service</t>
  </si>
  <si>
    <t>Ordinary maternity,Additional maternity,Parental,Adoption, Caregiver,Sick,Marriage,Bereavement/Funeral,Charity projects</t>
  </si>
  <si>
    <t>Annual/Privilege,Ordinary maternity,Additional maternity, Enhanced paternity,Shared parental,Parental,Adoption, Sick,Bereavement/Funeral,Military/Reserve,Jury service</t>
  </si>
  <si>
    <t>Annual/Privilege,Ordinary maternity,Additional maternity, Shared parental,Parental,Adoption,Caregiver,Sick, Bereavement/Funeral,Military/Reserve,Jury service,Unpaid leave</t>
  </si>
  <si>
    <t>Annual/Privilege,Ordinary maternity,Additional maternity, Enhanced paternity,Shared parental,Sick, Bereavement/Funeral,Sabbatical,Unpaid leave</t>
  </si>
  <si>
    <t>Annual/Privilege,Ordinary maternity,Additional maternity, Enhanced paternity,Adoption,Caregiver,Sick</t>
  </si>
  <si>
    <t>Executives,Managers,Non-executives or non-managers, Sales,Factory employees</t>
  </si>
  <si>
    <t>Corporate employees providing service 1-5 years accrue up to 27 days of leave annually, for more than 5 years of service, employees accrue up to 29 days. For support employees who provided service 1-5 years, they accrue 205.20 hours, for more than 5 years, they can accrue 220.40 hours. I don't know how this translates into weeks</t>
  </si>
  <si>
    <t>3 months for corporate employees and within the first day of the new for support employees</t>
  </si>
  <si>
    <t>Company enhances the SMP payments as follows:     The first six weeks of maternity leave are paid at 100% of average weekly earnings, The next two weeks are paid at 100% of the employee’s normal base salary, The next 18 weeks at 50% of your normal base salary, Statutory maternity pay for the remaining 13 weeks.</t>
  </si>
  <si>
    <t>90% of average weekly earnings (before tax) for the first 6 weeks £148.68 or 90% of average weekly earnings (whichever is lower) for the next 33 weeks. Company will top up the benefit so that the employee receives their regular monthly wage during the first 22 weeks of maternity leave.</t>
  </si>
  <si>
    <t>90% of your average weekly earnings (before tax) for the first 6 weeks £148.68 or 90% of your average weekly earnings (whichever is lower) for the next 33 weeks Company will top up your benefit so that you receive your regular monthly wage during the first 22 weeks of your maternity leave.</t>
  </si>
  <si>
    <t>Executives,Managers,Non-executives or non-managers, Retail,Factory employees</t>
  </si>
  <si>
    <t>For the additional maternity leave,  Employee is entitled to Maternity Pay for the first 13 weeks with the remaining 13 weeks unpaid.</t>
  </si>
  <si>
    <t>Executives,Managers,Non-executives or non-managers,Sales, Factory employees,Other, please specify</t>
  </si>
  <si>
    <t>Executives,Managers,Non-executives or non-managers,Sales, Factory employees</t>
  </si>
  <si>
    <t>Spouse,Domestic partner,Child(ren),Step children,Foster children,Grandchildren,Parent,Parent-in-law,Grandparent, Brother or sister,Uncle or aunt</t>
  </si>
  <si>
    <t>Spouse,Child(ren),Step children,Foster children,Parent, Parent-in-law,Grandparent,Grandparent-in-law</t>
  </si>
  <si>
    <t>Spouse,Domestic partner,Child(ren),Step children,Foster children,Grandchildren,Parent,Parent-in-law,Grandparent, Grandparent-in-law,Brother or sister</t>
  </si>
  <si>
    <t>Spouse,Domestic partner,Child(ren),Step children,Foster children,Grandchildren,Parent,Parent-in-law,Grandparent, Brother or sister,Brother or sister-in-law,Any other member of employee's household</t>
  </si>
  <si>
    <t>Spouse,Domestic partner,Child(ren),Step children,Foster children,Grandchildren,Parent,Parent-in-law,Grandparent, Grandparent-in-law,Brother or sister,Brother or sister-in-law, Niece or nephew,Uncle or aunt,Cousin,Any other member of employee's household</t>
  </si>
  <si>
    <t>Spouse,Domestic partner,Child(ren),Step children,Foster children,Grandchildren,Parent,Parent-in-law,Grandparent, Brother or sister</t>
  </si>
  <si>
    <t>Spouse,Domestic partner,Child(ren),Parent,Parent-in-law, Grandparent,Brother or sister,Other, please specify</t>
  </si>
  <si>
    <t>Spouse,Domestic partner,Child(ren),Step children,Foster children,Grandchildren,Parent,Parent-in-law,Grandparent, Grandparent-in-law,Brother or sister,Brother or sister-in-law</t>
  </si>
  <si>
    <t>Spouse,Domestic partner,Child(ren),Step children,Parent, Parent-in-law</t>
  </si>
  <si>
    <t>Spouse,Domestic partner,Child(ren),Step children,Foster children,Grandchildren,Parent,Parent-in-law,Grandparent, Brother or sister,Any other member of employee's household</t>
  </si>
  <si>
    <t>Spouse,Domestic partner,Child(ren),Step children,Foster children,Grandchildren,Parent,Parent-in-law,Grandparent, Grandparent-in-law,Brother or sister,Brother or sister-in-law, Niece or nephew</t>
  </si>
  <si>
    <t>More than 1 yrs service Weeks 1-8 full pay Weeks 9-16 weeks half pay  Weeks 17-26 State Sick Pay  Under 1 yrs service Weeks 1-4 full pay Weeks 5-8 weeks half pay  Weeks  9-26 State Sick Pay</t>
  </si>
  <si>
    <t>We have two levels of plans one for production and one for corporate. The corporate plan is complete here</t>
  </si>
  <si>
    <t>Corporate has unlimited leave, Production employees follow the CBA</t>
  </si>
  <si>
    <t>Production CBA, Corporate unlimited leave</t>
  </si>
  <si>
    <t>Production CBA guidelines, Production. Corporate can take the time they need</t>
  </si>
  <si>
    <t>Production CBA requirements, Corporate unlimited</t>
  </si>
  <si>
    <t>Corporate employees</t>
  </si>
  <si>
    <t>All corporate employees</t>
  </si>
  <si>
    <t>Corporate all employees, Production in regards to CBA</t>
  </si>
  <si>
    <t>All Corporate employees</t>
  </si>
  <si>
    <t>Out unlimited time off policy. Our medical leave / Short Term Disability policy for corporate employees is 3 months 100 paid</t>
  </si>
  <si>
    <t>all corporate employees</t>
  </si>
  <si>
    <t>all corporate employees not production employees</t>
  </si>
  <si>
    <t>all corporate employees, not production</t>
  </si>
  <si>
    <t>Corporate employees, not production</t>
  </si>
  <si>
    <t>corporate not production</t>
  </si>
  <si>
    <t>we have a self insured life policy level 1 plan for our corporate employees, then we have a lower level 2 plan for production</t>
  </si>
  <si>
    <t>Spouse,Domestic partner,Child(ren),Step children,Foster children,Grandchildren,Parent,Parent-in-law,Grandparent, Grandparent-in-law,Brother or sister,Other, please specify</t>
  </si>
  <si>
    <t>Spouse,Domestic partner,Child(ren),Step children,Foster children,Grandchildren,Parent,Parent-in-law,Grandparent, Grandparent-in-law,Brother or sister,Brother or sister-in-law, Niece or nephew,Uncle or aunt,Cousin</t>
  </si>
  <si>
    <t>Spouse,Domestic partner,Child(ren),Step children, Grandchildren,Parent,Parent-in-law,Grandparent,Brother or sister</t>
  </si>
  <si>
    <t>Spouse,Domestic partner,Child(ren),Step children,Foster children,Grandchildren,Parent,Parent-in-law,Grandparent, Grandparent-in-law,Brother or sister,Brother or sister-in-law, Niece or nephew,Uncle or aunt</t>
  </si>
  <si>
    <t>Spouse,Domestic partner,Child(ren),Step children,Foster children,Grandchildren,Parent,Parent-in-law,Grandparent, Grandparent-in-law,Brother or sister,Brother or sister-in-law, Niece or nephew,Uncle or aunt,Cousin,Other member of employee's household (non-relative)</t>
  </si>
  <si>
    <t>Spouse,Domestic partner,Child(ren),Step children, Grandchildren,Parent,Parent-in-law,Grandparent, Grandparent-in-law,Brother or sister,Brother or sister-in-law, Niece or nephew,Uncle or aunt,Cousin</t>
  </si>
  <si>
    <t>Spouse,Domestic partner,Child(ren),Parent,Parent-in-law, Brother or sister,Brother or sister-in-law</t>
  </si>
  <si>
    <t>Spouse,Domestic partner,Child(ren),Step children,Foster children,Grandchildren,Parent,Parent-in-law,Grandparent, Brother or sister,Brother or sister-in-law,Niece or nephew, Uncle or aunt</t>
  </si>
  <si>
    <t>Spouse,Domestic partner,Child(ren),Step children,Parent, Brother or sister</t>
  </si>
  <si>
    <t>Spouse,Child(ren),Grandchildren,Parent,Parent-in-law, Grandparent,Brother or sister,Brother or sister-in-law</t>
  </si>
  <si>
    <t>Spouse,Domestic partner,Child(ren),Step children,Foster children,Grandchildren,Parent,Parent-in-law,Grandparent, Grandparent-in-law,Brother or sister,Brother or sister-in-law, Niece or nephew,Uncle or aunt,Cousin,Other, please specify</t>
  </si>
  <si>
    <t>Spouse,Domestic partner,Child(ren),Step children,Foster children,Grandchildren,Parent,Parent-in-law,Grandparent, Grandparent-in-law,Brother or sister,Brother or sister-in-law, Niece or nephew,Uncle or aunt,Cousin,Other member of employee's household (non-relative),Other, please specify</t>
  </si>
  <si>
    <t>Spouse,Domestic partner,Child(ren),Grandchildren,Parent, Grandparent,Brother or sister,Other, please specify</t>
  </si>
  <si>
    <t>Spouse,Domestic partner,Child(ren),Step children,Foster children,Grandchildren,Parent,Parent-in-law,Grandparent, Grandparent-in-law,Brother or sister,Brother or sister-in-law, Other member of employee's household (non-relative)</t>
  </si>
  <si>
    <t>Spouse,Domestic partner,Child(ren),Step children,Parent, Parent-in-law,Brother or sister,Brother or sister-in-law</t>
  </si>
  <si>
    <t>Spouse,Domestic partner,Child(ren),Step children,Foster children,Grandchildren,Parent,Parent-in-law,Grandparent, Brother or sister,Brother or sister-in-law</t>
  </si>
  <si>
    <t>At Company all leave is 100% paid. If the duration is very specific or very long there might be conversation about personal unpaid leave, but this is rarely. We do not in essence have a limit on the leave the employee that the employee can take, we do however ask them to take reconsideration the time they need and the impact to Company.</t>
  </si>
  <si>
    <t>Crisis Leave - related to COVID 19 - company provides 15 days paid leave for any time off surrounding COVID. for example to have vaccine, to look after children when school closed, to isolate and unable to work.</t>
  </si>
  <si>
    <t>The Company Paid Parental Leave provides 20 weeks for the birthing parent and 12 weeks for the non-birthing parent. The leave runs concurrently with and is inclusive of statutory leave and pay.</t>
  </si>
  <si>
    <t>Cycle to work,Eco or sustainable living benefits (e.g., allowances towards eco purchases, electric cars, electric scooters, etc.)</t>
  </si>
  <si>
    <t>Family insurance (spouse/partner/child: life, disability, critical illness, etc.),Eco or sustainable living benefits (e.g., allowances towards eco purchases, electric cars, electric scooters, etc.),Discount products</t>
  </si>
  <si>
    <t>Menopause support or benefits,Pet insurance,Eco or sustainable living benefits (e.g., allowances towards eco purchases, electric cars, electric scooters, etc.),Discount products</t>
  </si>
  <si>
    <t>Health screening,Legal services (e.g., will writing), Breakdown cover,Cycle to work,Discount products</t>
  </si>
  <si>
    <t>Fitness or gym membership,Employee Assistance Program (EAP), Childcare,Employee share plan (ESPP),Service awards,Internet subsidy</t>
  </si>
  <si>
    <t>Workplace canteens,Convenience (snacks, haircuts, dry cleaning, etc.), Employee Assistance Program (EAP),Backup childcare,Employee share plan (ESPP),Wireless device subsidy,Internet subsidy,Home office benefits</t>
  </si>
  <si>
    <t>Employee Assistance Program (EAP),Employee share plan (ESPP), Service awards,Home office benefits</t>
  </si>
  <si>
    <t>Relocation assistance,Fitness or gym membership,Annual medical checkup,Employee Assistance Program (EAP),Tuition assistance, Employee share plan (ESPP),Service awards,Transportation (other than company car)</t>
  </si>
  <si>
    <t>Fitness or gym membership,Employee Assistance Program (EAP), Tuition assistance,Employee share plan (ESPP),Home office benefits, Transportation (other than company car)</t>
  </si>
  <si>
    <t>Workplace canteens,Onsite fitness center,Fitness or gym membership, Annual medical checkup,Employee Assistance Program (EAP), Childcare,Backup childcare,Tuition assistance,Employee share plan (ESPP),Service awards,Transportation (other than company car)</t>
  </si>
  <si>
    <t>Employee Assistance Program (EAP),Employee share plan (ESPP), Home office benefits,Other offering to remote workers</t>
  </si>
  <si>
    <t>Fitness or gym membership,Employee Assistance Program (EAP), Eldercare,Tuition assistance,Employee share plan (ESPP),Wireless device subsidy,Home office benefits</t>
  </si>
  <si>
    <t>Relocation assistance,Workplace canteens,Annual medical checkup, Employee Assistance Program (EAP),Backup childcare,Tuition assistance,Employee share plan (ESPP),Wireless device subsidy, Home office benefits</t>
  </si>
  <si>
    <t>Relocation assistance,Workplace canteens,Onsite fitness center, Employee Assistance Program (EAP),Backup childcare,Service awards,Internet subsidy,Home office benefits,Other offering to remote workers</t>
  </si>
  <si>
    <t>Employee Assistance Program (EAP),Backup childcare,Eldercare, Tuition assistance,Employee share plan (ESPP),Service awards,Home office benefits</t>
  </si>
  <si>
    <t>Employee Assistance Program (EAP),Employee share plan (ESPP), Service awards,Home office benefits,Other offering to remote workers</t>
  </si>
  <si>
    <t>Workplace canteens,Convenience (snacks, haircuts, dry cleaning, etc.), Onsite fitness center,Fitness or gym membership,Annual medical checkup,Employee Assistance Program (EAP),Childcare,Backup childcare,Tuition assistance,Employee share plan (ESPP),Home office benefits</t>
  </si>
  <si>
    <t>Employee Assistance Program (EAP),Tuition assistance,Service awards,Wireless device subsidy,Internet subsidy,Home office benefits, Transportation (other than company car)</t>
  </si>
  <si>
    <t>Relocation assistance,Workplace canteens,Onsite fitness center, Fitness or gym membership,Annual medical checkup,Employee Assistance Program (EAP),Childcare,Tuition assistance,Employee share plan (ESPP),Service awards</t>
  </si>
  <si>
    <t>Fitness or gym membership,Employee Assistance Program (EAP), Childcare,Employee share plan (ESPP)</t>
  </si>
  <si>
    <t>Housing or accommodation allowance,Relocation assistance, Subsidized meals,Workplace canteens,Childcare,Backup childcare, Eldercare,Employee share plan (ESPP),Home office benefits, Transportation (other than company car)</t>
  </si>
  <si>
    <t>Fitness or gym membership,Employee Assistance Program (EAP), Backup childcare,Employee share plan (ESPP),Service awards,Other offering to remote workers,Other</t>
  </si>
  <si>
    <t>Subsidized meals,Workplace canteens,Fitness or gym membership, Employee Assistance Program (EAP),Tuition assistance,Employee share plan (ESPP),Service awards</t>
  </si>
  <si>
    <t>Relocation assistance,Convenience (snacks, haircuts, dry cleaning, etc.),Fitness or gym membership,Employee Assistance Program (EAP),Childcare,Backup childcare,Employee share plan (ESPP), Service awards,Home office benefits</t>
  </si>
  <si>
    <t>Relocation assistance,Convenience (snacks, haircuts, dry cleaning, etc.),Employee Assistance Program (EAP),Tuition assistance, Employee share plan (ESPP),Wireless device subsidy,Home office benefits,Other</t>
  </si>
  <si>
    <t>Fitness or gym membership,Employee Assistance Program (EAP), Employee share plan (ESPP),Service awards</t>
  </si>
  <si>
    <t>Workplace canteens,Convenience (snacks, haircuts, dry cleaning, etc.), Fitness or gym membership,Employee Assistance Program (EAP), Tuition assistance,Employee share plan (ESPP),Internet subsidy,Home office benefits,Other offering to remote workers,Transportation (other than company car)</t>
  </si>
  <si>
    <t>Workplace canteens,Onsite fitness center,Fitness or gym membership, Annual medical checkup,Employee Assistance Program (EAP),Backup childcare,Eldercare,Tuition assistance,Employee share plan (ESPP), Service awards</t>
  </si>
  <si>
    <t>Workplace canteens,Convenience (snacks, haircuts, dry cleaning, etc.), Annual medical checkup,Employee Assistance Program (EAP), Employee share plan (ESPP),Service awards</t>
  </si>
  <si>
    <t>Varies by site, and may include: Discounted canteen, Discounted vending machines, Free tea/coffee, snacks/fruit or breakfast.</t>
  </si>
  <si>
    <t>This Policy applies to new and existing team members who, at Company’s request or direction, indefinitely relocate from their current location to take up employment in a new work location. This Policy does not apply to temporary assignments to a different work location.</t>
  </si>
  <si>
    <t>THE COMPANY FITNESS FACILITIES (INCLUDING ON SITE CLASSES AND EQUIPMENT) ARE AVAILABLE TO ONLY COMPANY TEAM MEMBERS AND CONTRACTORS. 
Athletic shoes and appropriate gym attire must be worn. Shirts are required. 
• Use the Online booking system to book time slots for available equipment 
o Duration of a single slot is 30 minutes. 2 slots can be booked at a maximum successively.
o No street shoes are allowed. Athletic shoes or socks are required
o Use disinfectant to clean equipment after workout.
• Respect time limits on equipment if someone is waiting.
• Always leave the room as you expect to find it (clean &amp; tidy).
• Do not leave any drinks/cups in the room – any spillages must be cleaned before leaving the room.
• Do not remove any of the equipment from the room.
• Switch off both sets of lights when leaving the room.
• Company is not responsible for lost or stolen articles. 
• With respect to proximity of working environment appliances and equipment have to be used at room volume.
• Consumption of alcoholic beverages and use of illegal drugs are prohibited.</t>
  </si>
  <si>
    <t>we pay the subscription for access to the childcare provider, the employee pays for the services themselves</t>
  </si>
  <si>
    <t>12 sessions of backup childcare/eldercare per year, temporarily increased to 20 sessions per year during the pandemic.  Copay of 10 GBP per session.</t>
  </si>
  <si>
    <t>Company's Tuition Assistance Program (TAP) provides financial assistance to eligible participants completing a job-related degree program/coursework.</t>
  </si>
  <si>
    <t>This program is available to employees globally for reimbursement of educational expenses related to their job or work required by Company.
Employees are eligible for reimbursement of expenses , including tuition, class fees, course materials, and books, after successfully completing coursework.</t>
  </si>
  <si>
    <t>The advancement of Company and the ongoing development of our employees go hand-in-hand.  All regular employees are eligible to request learning assistance and reimbursement.  The company will reimburse 100% up to the maximum 5,000 EUR of the costs for tuition, books, and fees.  
*The degree program must be at an accredited insititution.  
*Reimbursement will only be provided for job-related courses towards a degree
*In order to receive reimbursement, employees must achieve a grace c or above.  If the class is credit or no credit, the class must be taken for credit.  If the class is 'pass/fail, a pass must be achieved for reimbursement.</t>
  </si>
  <si>
    <t>Company supports and encourages employees who wish to continue their education to enhance current skills as well as improve professional growth within the company.</t>
  </si>
  <si>
    <t>All employees can spend $1000 USD per year (converted into local equivalent currency, if applicable) toward learning something new. Consider using your allowance on something that is meaningful to you and aligns with your development goals.</t>
  </si>
  <si>
    <t>The maximum reimbursement per calendar year is 6,000 EUR or equivalent for job-related courses leading to a formally recognized qualification (example: diploma, graduate diploma, degree, MBA, doctorate) from an accredited and recognized college/university and/or learning institution that directly relate to your career development within Company.</t>
  </si>
  <si>
    <t>Company offers a quarterly internet alllowance</t>
  </si>
  <si>
    <t>Company offers a childcare voucher scheme in the UK where vouchers can be used to pay for registered childcare, day nurseries, childminders, pre &amp; after school clubs, au airs and holiday clubs for school age children.</t>
  </si>
  <si>
    <t>Company’s ESPP provides eligible participants with a means of acquiring an equity interest in Company and enhances the sense of participation in the affairs of Company.</t>
  </si>
  <si>
    <t>Giving 
Company believes in giving back and cares deeply about the causes that our employees believe in. We match qualified charitable donations dollar-for-dollar, up to the local currency equivalent of $1,000 USD per employee annually
Volunteering 
Company encourages all employees to support the cause(s) that matter to them by providing 20 hours of paid “volunteer time” each year.
Rethink Benefits
Rethink is a best in-class support program specifically designed to help parents and caregivers of children with developmental disabilities, behaviour challenges, or learning differences.
Business Health Insurance 
Provides medical coverage if you become ill or injured while you’re travelling outside of your home country on a business trip or sojourn (leisure trip directly connected before, after or during a business trip). 
Business Travel Accident
Provides additional financial security in the event you pass away or suffer a serious injury due to an accident while you’re travelling on company business.</t>
  </si>
  <si>
    <t>We offer Wifi reimbursement for employees working from home.</t>
  </si>
  <si>
    <t>The ESPP provides an opportunity for eligible employees to purchase shares of common stock of Company at a discounted price through accumulated payroll deductions.</t>
  </si>
  <si>
    <t>"Employee Stock Purchase Plan (ESPP) - equity ownership in the company by purchasing Company common Class A shares of stock at a 15% percent discount.
ESPP during open enrolment periods twice a year, January 15 – February 15 and July 15 – August 15.
Contributions 2% to 10% of  gross earnings through payroll withholding."</t>
  </si>
  <si>
    <t>Employee Share Purchase Program. Participation is voluntary. Employees can invest up to 10% of salary each year (subject to certain limits) to purchase Company shares with a 5% discount. Contributions are deducted automatically from employee's salary during the six months offering period. Purchased shares are deposited into employees' brokerage account.</t>
  </si>
  <si>
    <t>Company's Employee Stock Purchase Plan (ESPP) allows eligible employees to use accumulated after-tax payroll contributions to purchase Company stock at a discount of at least 15%.</t>
  </si>
  <si>
    <t>Service milestones at years 1, 5 and every 5 years thereafter.  Employees will receive a virtual collection of personal stories from their manager and colleagues. For milestones starting at 5 years, employees will also receive a monetary gift certificate of their choice. Value ranges per award.</t>
  </si>
  <si>
    <t>Professional Development
$1500 annually for professional development
Referral Bonus for every referee successfully hired as regular employee 
Employee Stock Purchase Plan (ESPP)
Purchase Company shares at a discount by nominating a percentage of your monthly salary (1 to 15%)</t>
  </si>
  <si>
    <t>$2000 p.a.
travel insurance
parenting coach via Cleo
fertility supports via Carrot
subscription to Headspace and Happify
subscription to care.com</t>
  </si>
  <si>
    <t>Where an employee’s work location is a specific Company office it is assumed that, when working, that is where they will be based.   With management agreement they may, on occasion, work away from the office.  However it is expected that they will, under normal circumstances, attend the office whenever possible.</t>
  </si>
  <si>
    <t>Family Planning Benefits - Company offers a comprehensive fertility and parenting benefit through Carrot. All full-time benefit-eligible employees and their spouse/domestic partner can access the Carrot fertility benefit regardless of sexual orientation or gender identity. 
-	Fertility preservation, including egg, sperm or embryo freezing
-	Storage fees for egg, sperm, or embryo freezing
-	Genetic testing of embryos, both pre-genetic screening and diagnosis
-	Surrogacy related expenses
-	Basic fertility check-ups 
-	Intrauterine insemination (IUI), and in-vitro fertilization (IVF)
-	Vasectomy reversals
-	Adoption related expenses</t>
  </si>
  <si>
    <t>Company has no transportation policy</t>
  </si>
  <si>
    <t>only allow BEV cars</t>
  </si>
  <si>
    <t>Car Allowance,Company Car, Walking/Cycling Allowance</t>
  </si>
  <si>
    <t>Car Allowance,Parking Benefits, Other, please specify</t>
  </si>
  <si>
    <t>Public Transportation, Walking/Cycling Allowance</t>
  </si>
  <si>
    <t>Business need (e.g., sales position),Market competitiveness, Other, please specify</t>
  </si>
  <si>
    <t>Corporate HR,Head of territory, Local or regional HR,Financial controller</t>
  </si>
  <si>
    <t>Top executives,Directors,Managers,First line supervisors,Non-management, Other, please specify</t>
  </si>
  <si>
    <t>Top executives,Directors, Managers,Other, please specify</t>
  </si>
  <si>
    <t>Top executives,Directors, Managers,First line supervisors, Non-management</t>
  </si>
  <si>
    <t>Top executives,Directors, Managers,Non-management</t>
  </si>
  <si>
    <t>Top executives,Directors, Managers,First line supervisors, Non-management,Other, please specify</t>
  </si>
  <si>
    <t>Top executives,Directors, Managers,First line supervisors</t>
  </si>
  <si>
    <t>Top executives,Directors,Managers, First line supervisors, Non-management</t>
  </si>
  <si>
    <t>Fuel,Parking,Road toll costs, Insurance,Maintenance,Mileage</t>
  </si>
  <si>
    <t>Road toll costs,Car wash,Insurance, Maintenance</t>
  </si>
  <si>
    <t>Fuel,Car wash,Insurance, Maintenance,Mileage</t>
  </si>
  <si>
    <t>Parking,Road toll costs,Car wash, Insurance,Maintenance,Mileage</t>
  </si>
  <si>
    <t>Company cost of providing a vehicle (e.g., similar to monthly lease amount),Maintenance of a vehicle, Insurance of a vehicle,Market competitiveness,Job level/salary band of employee</t>
  </si>
  <si>
    <t>Company cost of providing a vehicle (e.g., similar to monthly lease amount),Maintenance of a vehicle, Insurance of a vehicle,Tax and social security contribution paid by the employee,Market competitiveness,Job level/salary band of employee</t>
  </si>
  <si>
    <t>Company cost of providing a vehicle (e.g., similar to monthly lease amount),Market competitiveness, Job level/salary band of employee</t>
  </si>
  <si>
    <t>Imputed income (taxable),Holiday or vacation,Social contributions, Notice pay</t>
  </si>
  <si>
    <t>Employee receives an allowance to cover or supplement their costs</t>
  </si>
  <si>
    <t>Employees who are incapable of working due to ill health. This means regularly reviewing an employee's absence and state of health or fitness to see whether there is any improvement and if Company can do anything to facilitate the employee's recovery and return to work</t>
  </si>
  <si>
    <t>If after 26 weeks of continuous absence employees are still unable to work, employees may be entitled to benefits under the Income Protection Plan.</t>
  </si>
  <si>
    <t>Annual/Privilege,Ordinary maternity,Additional maternity, Enhanced paternity,Shared parental,Parental,Adoption, Sick, Bereavement/Funeral,Charity projects</t>
  </si>
  <si>
    <t>Annual/Privilege,Ordinary maternity,Additional maternity, Enhanced paternity,Shared parental,Parental,Adoption, Sick, Bereavement/Funeral,Military/Reserve,Jury service, Unpaid leave</t>
  </si>
  <si>
    <t>Annual/Privilege,Ordinary maternity,Additional maternity, Enhanced paternity,Shared parental,Parental,Adoption, Sick, Bereavement/Funeral,Military/Reserve,Unpaid leave</t>
  </si>
  <si>
    <t>Annual/Privilege,Ordinary maternity,Additional maternity, Enhanced paternity,Shared parental,Parental,Adoption, Sick,Bereavement/Funeral,Jury service</t>
  </si>
  <si>
    <t>Ordinary maternity,Additional maternity,Parental,Adoption, Sick,Bereavement/Funeral, Military/Reserve,Jury service, Study,Charity projects, Sabbatical,Unpaid leave</t>
  </si>
  <si>
    <t>Annual/Privilege,Ordinary maternity,Additional maternity, Enhanced paternity,Shared parental,Parental,Adoption, Sick,Bereavement/Funeral,Jury service,Unpaid leave</t>
  </si>
  <si>
    <t>Acupuncture,Ambulance,Annual check-ups or exams (all employees),Day care (outpatient) treatment,Primary care doctor visits,Specialist doctor visits, Telemedicine,Hospital,Outpatient medical services,Pre hospitalization expenses, Surgical,Vaccination shots,X-Rays,Inpatient mental health services,Outpatient mental health services</t>
  </si>
  <si>
    <t xml:space="preserve">Individual or group counseling and education services sessions with professionals,Social support network,Campaigns promoting the importance of mental health (e.g., webinars, workshops, etc.),Mental health topics included in executive and manager leadership training, Webinars on wellness topics,Virtual medical services available 24/7, Incentives for participating in wellness programs </t>
  </si>
  <si>
    <t>Retirement planning tools and calculators,Voluntary benefits, Financial health assessments, Personal financial advisor, Promoting money management vs. saving, Financial counseling</t>
  </si>
  <si>
    <t>Personal issues,Job stress,Childcare,Eldercare, Relationship issues,Parenting issues,Harassment, Substance abuse,Separation and loss, Balancing work and family,Financial or legal,Family violence,Manager support</t>
  </si>
  <si>
    <t>Annual/Privilege,Ordinary maternity,Additional maternity, Enhanced paternity,Shared parental,Parental,Adoption, Caregiver,Sick,Bereavement/Funeral,Jury service,Study, Unpaid leave</t>
  </si>
  <si>
    <t>Onsite fitness center,Fitness or gym membership,Employee Assistance Program (EAP),Childcare,Backup childcare,Tuition assistance,Service awards,Wireless device subsidy,Internet subsidy, Home office benefits,Other offering to remote workers,Transportation (other than company car)</t>
  </si>
  <si>
    <t>1:1</t>
  </si>
  <si>
    <t>2:1</t>
  </si>
  <si>
    <t>5:7</t>
  </si>
  <si>
    <t>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</si>
</sst>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0"/>
      <color theme="1"/>
      <name val="Arial"/>
      <family val="2"/>
    </font>
    <font>
      <u/>
      <sz val="10"/>
      <color theme="10"/>
      <name val="Arial"/>
      <family val="2"/>
    </font>
    <font>
      <sz val="10"/>
      <color theme="1"/>
      <name val="Arial"/>
      <family val="2"/>
    </font>
    <font>
      <b/>
      <u/>
      <sz val="10"/>
      <color theme="10"/>
      <name val="Arial"/>
      <family val="2"/>
    </font>
    <font>
      <b/>
      <sz val="10"/>
      <color theme="1"/>
      <name val="Arial"/>
      <family val="2"/>
    </font>
    <font>
      <sz val="10"/>
      <name val="Arial"/>
      <family val="2"/>
    </font>
    <font>
      <b/>
      <u/>
      <sz val="11"/>
      <color theme="10"/>
      <name val="Arial"/>
      <family val="2"/>
    </font>
    <font>
      <b/>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9">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auto="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theme="1"/>
      </right>
      <top style="thin">
        <color theme="0" tint="-0.24994659260841701"/>
      </top>
      <bottom style="medium">
        <color theme="1"/>
      </bottom>
      <diagonal/>
    </border>
    <border>
      <left/>
      <right style="thin">
        <color theme="0" tint="-0.24994659260841701"/>
      </right>
      <top style="thin">
        <color theme="0" tint="-0.24994659260841701"/>
      </top>
      <bottom style="medium">
        <color auto="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1"/>
      </right>
      <top style="thin">
        <color theme="0" tint="-0.24994659260841701"/>
      </top>
      <bottom style="medium">
        <color auto="1"/>
      </bottom>
      <diagonal/>
    </border>
    <border>
      <left style="thin">
        <color theme="0" tint="-0.24994659260841701"/>
      </left>
      <right style="medium">
        <color theme="1"/>
      </right>
      <top/>
      <bottom style="thin">
        <color theme="0" tint="-0.24994659260841701"/>
      </bottom>
      <diagonal/>
    </border>
    <border>
      <left style="thin">
        <color theme="0" tint="-0.24994659260841701"/>
      </left>
      <right style="medium">
        <color theme="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1"/>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medium">
        <color theme="1"/>
      </left>
      <right/>
      <top style="medium">
        <color theme="1"/>
      </top>
      <bottom/>
      <diagonal/>
    </border>
    <border>
      <left/>
      <right/>
      <top style="medium">
        <color theme="1"/>
      </top>
      <bottom/>
      <diagonal/>
    </border>
    <border>
      <left style="medium">
        <color auto="1"/>
      </left>
      <right style="thin">
        <color theme="0" tint="-0.24994659260841701"/>
      </right>
      <top style="medium">
        <color auto="1"/>
      </top>
      <bottom style="thin">
        <color theme="0" tint="-0.24994659260841701"/>
      </bottom>
      <diagonal/>
    </border>
    <border>
      <left style="thin">
        <color theme="0" tint="-0.24994659260841701"/>
      </left>
      <right style="medium">
        <color auto="1"/>
      </right>
      <top style="medium">
        <color auto="1"/>
      </top>
      <bottom style="thin">
        <color theme="0" tint="-0.24994659260841701"/>
      </bottom>
      <diagonal/>
    </border>
    <border>
      <left style="medium">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auto="1"/>
      </right>
      <top style="thin">
        <color theme="0" tint="-0.24994659260841701"/>
      </top>
      <bottom style="thin">
        <color theme="0" tint="-0.24994659260841701"/>
      </bottom>
      <diagonal/>
    </border>
    <border>
      <left style="medium">
        <color auto="1"/>
      </left>
      <right style="thin">
        <color theme="0" tint="-0.24994659260841701"/>
      </right>
      <top style="thin">
        <color theme="0" tint="-0.24994659260841701"/>
      </top>
      <bottom style="medium">
        <color auto="1"/>
      </bottom>
      <diagonal/>
    </border>
    <border>
      <left style="thin">
        <color theme="0" tint="-0.24994659260841701"/>
      </left>
      <right style="medium">
        <color auto="1"/>
      </right>
      <top style="thin">
        <color theme="0" tint="-0.24994659260841701"/>
      </top>
      <bottom style="medium">
        <color auto="1"/>
      </bottom>
      <diagonal/>
    </border>
    <border>
      <left style="medium">
        <color auto="1"/>
      </left>
      <right/>
      <top style="medium">
        <color auto="1"/>
      </top>
      <bottom/>
      <diagonal/>
    </border>
    <border>
      <left style="thin">
        <color theme="0" tint="-0.24994659260841701"/>
      </left>
      <right/>
      <top style="thin">
        <color theme="0" tint="-0.24994659260841701"/>
      </top>
      <bottom style="medium">
        <color auto="1"/>
      </bottom>
      <diagonal/>
    </border>
    <border>
      <left/>
      <right/>
      <top style="medium">
        <color auto="1"/>
      </top>
      <bottom/>
      <diagonal/>
    </border>
    <border>
      <left style="medium">
        <color auto="1"/>
      </left>
      <right style="thin">
        <color theme="0" tint="-0.24994659260841701"/>
      </right>
      <top/>
      <bottom style="thin">
        <color theme="0" tint="-0.24994659260841701"/>
      </bottom>
      <diagonal/>
    </border>
    <border>
      <left style="thin">
        <color theme="0" tint="-0.24994659260841701"/>
      </left>
      <right style="medium">
        <color auto="1"/>
      </right>
      <top/>
      <bottom style="thin">
        <color theme="0" tint="-0.24994659260841701"/>
      </bottom>
      <diagonal/>
    </border>
  </borders>
  <cellStyleXfs count="2">
    <xf numFmtId="0" fontId="0" fillId="0" borderId="0"/>
    <xf numFmtId="0" fontId="1" fillId="0" borderId="0" applyNumberFormat="0" applyFill="0" applyBorder="0" applyAlignment="0" applyProtection="0"/>
  </cellStyleXfs>
  <cellXfs count="87">
    <xf numFmtId="0" fontId="0" fillId="0" borderId="0" xfId="0"/>
    <xf numFmtId="0" fontId="4" fillId="0" borderId="0" xfId="0" applyFont="1" applyFill="1" applyAlignment="1">
      <alignment horizontal="left" wrapText="1"/>
    </xf>
    <xf numFmtId="3" fontId="4" fillId="0" borderId="0" xfId="0" applyNumberFormat="1" applyFont="1" applyFill="1" applyAlignment="1">
      <alignment horizontal="left" wrapText="1"/>
    </xf>
    <xf numFmtId="0" fontId="4" fillId="0" borderId="0" xfId="0" applyFont="1" applyFill="1" applyAlignment="1">
      <alignment horizontal="left"/>
    </xf>
    <xf numFmtId="0" fontId="4" fillId="3" borderId="0" xfId="0" applyFont="1" applyFill="1" applyAlignment="1">
      <alignment horizontal="left" wrapText="1"/>
    </xf>
    <xf numFmtId="3" fontId="4" fillId="3" borderId="0" xfId="0" applyNumberFormat="1" applyFont="1" applyFill="1" applyAlignment="1">
      <alignment horizontal="left" wrapText="1"/>
    </xf>
    <xf numFmtId="0" fontId="2" fillId="0" borderId="0" xfId="0" applyFont="1" applyFill="1" applyAlignment="1">
      <alignment horizontal="left"/>
    </xf>
    <xf numFmtId="0" fontId="2" fillId="0" borderId="0" xfId="0" applyFont="1" applyFill="1" applyAlignment="1">
      <alignment horizontal="left" wrapText="1"/>
    </xf>
    <xf numFmtId="3" fontId="2" fillId="0" borderId="0" xfId="0" applyNumberFormat="1" applyFont="1" applyFill="1" applyAlignment="1">
      <alignment horizontal="left" wrapText="1"/>
    </xf>
    <xf numFmtId="9" fontId="2" fillId="0" borderId="0" xfId="0" applyNumberFormat="1" applyFont="1" applyFill="1" applyAlignment="1">
      <alignment horizontal="left" wrapText="1"/>
    </xf>
    <xf numFmtId="0" fontId="2" fillId="0" borderId="0" xfId="0" applyFont="1" applyFill="1" applyBorder="1" applyAlignment="1">
      <alignment horizontal="left" wrapText="1"/>
    </xf>
    <xf numFmtId="3" fontId="2" fillId="0" borderId="0" xfId="0" applyNumberFormat="1" applyFont="1" applyFill="1" applyBorder="1" applyAlignment="1">
      <alignment horizontal="left" wrapText="1"/>
    </xf>
    <xf numFmtId="0" fontId="2" fillId="0" borderId="0" xfId="0" applyFont="1" applyFill="1" applyBorder="1" applyAlignment="1">
      <alignment horizontal="left"/>
    </xf>
    <xf numFmtId="9" fontId="2" fillId="0" borderId="0" xfId="0" applyNumberFormat="1" applyFont="1" applyFill="1" applyBorder="1" applyAlignment="1">
      <alignment horizontal="left" wrapText="1"/>
    </xf>
    <xf numFmtId="0" fontId="5" fillId="0" borderId="0" xfId="0" applyFont="1" applyFill="1" applyAlignment="1">
      <alignment horizontal="left"/>
    </xf>
    <xf numFmtId="0" fontId="5" fillId="0" borderId="0" xfId="0" applyFont="1" applyFill="1" applyAlignment="1">
      <alignment horizontal="left" wrapText="1"/>
    </xf>
    <xf numFmtId="3" fontId="5" fillId="0" borderId="0" xfId="0" applyNumberFormat="1" applyFont="1" applyFill="1" applyAlignment="1">
      <alignment horizontal="left" wrapText="1"/>
    </xf>
    <xf numFmtId="1" fontId="4" fillId="0" borderId="0" xfId="0" applyNumberFormat="1" applyFont="1" applyFill="1" applyBorder="1" applyAlignment="1">
      <alignment horizontal="left"/>
    </xf>
    <xf numFmtId="3" fontId="2" fillId="0" borderId="0" xfId="0" applyNumberFormat="1" applyFont="1" applyFill="1" applyBorder="1" applyAlignment="1">
      <alignment horizontal="left"/>
    </xf>
    <xf numFmtId="0" fontId="3" fillId="0" borderId="0" xfId="1" applyFont="1" applyFill="1" applyAlignment="1">
      <alignment horizontal="left"/>
    </xf>
    <xf numFmtId="0" fontId="4" fillId="0" borderId="0" xfId="0" applyFont="1" applyAlignment="1">
      <alignment horizontal="right" wrapText="1"/>
    </xf>
    <xf numFmtId="0" fontId="0" fillId="0" borderId="0" xfId="0" applyAlignment="1">
      <alignment wrapText="1"/>
    </xf>
    <xf numFmtId="4" fontId="4" fillId="0" borderId="0" xfId="0" applyNumberFormat="1" applyFont="1" applyFill="1" applyAlignment="1">
      <alignment horizontal="left" wrapText="1"/>
    </xf>
    <xf numFmtId="4" fontId="4" fillId="3" borderId="0" xfId="0" applyNumberFormat="1" applyFont="1" applyFill="1" applyAlignment="1">
      <alignment horizontal="left" wrapText="1"/>
    </xf>
    <xf numFmtId="4" fontId="2" fillId="0" borderId="0" xfId="0" applyNumberFormat="1" applyFont="1" applyFill="1" applyAlignment="1">
      <alignment horizontal="left" wrapText="1"/>
    </xf>
    <xf numFmtId="4" fontId="5" fillId="0" borderId="0" xfId="0" applyNumberFormat="1" applyFont="1" applyFill="1" applyAlignment="1">
      <alignment horizontal="left" wrapText="1"/>
    </xf>
    <xf numFmtId="4" fontId="2" fillId="0" borderId="0" xfId="0" applyNumberFormat="1" applyFont="1" applyFill="1" applyBorder="1" applyAlignment="1">
      <alignment horizontal="left" wrapText="1"/>
    </xf>
    <xf numFmtId="0" fontId="0" fillId="0" borderId="0" xfId="0" applyAlignment="1">
      <alignment horizontal="right" wrapText="1"/>
    </xf>
    <xf numFmtId="0" fontId="2" fillId="0" borderId="0" xfId="0" applyFont="1" applyFill="1" applyBorder="1" applyAlignment="1">
      <alignment horizontal="right"/>
    </xf>
    <xf numFmtId="10" fontId="2" fillId="0" borderId="0" xfId="0" applyNumberFormat="1" applyFont="1" applyFill="1" applyAlignment="1">
      <alignment horizontal="left" wrapText="1"/>
    </xf>
    <xf numFmtId="9" fontId="0" fillId="0" borderId="0" xfId="0" applyNumberFormat="1" applyFont="1" applyFill="1" applyAlignment="1">
      <alignment horizontal="left" wrapText="1"/>
    </xf>
    <xf numFmtId="0" fontId="3" fillId="0" borderId="0" xfId="1" applyFont="1" applyAlignment="1">
      <alignment horizontal="left"/>
    </xf>
    <xf numFmtId="0" fontId="4" fillId="0" borderId="0" xfId="0" applyFont="1" applyAlignment="1">
      <alignment horizontal="left" wrapText="1"/>
    </xf>
    <xf numFmtId="0" fontId="4"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2" fillId="0" borderId="0" xfId="0" applyFont="1" applyBorder="1" applyAlignment="1">
      <alignment horizontal="left" wrapText="1"/>
    </xf>
    <xf numFmtId="0" fontId="2" fillId="0" borderId="0" xfId="0" applyFont="1" applyBorder="1" applyAlignment="1">
      <alignment horizontal="left"/>
    </xf>
    <xf numFmtId="49" fontId="2" fillId="0" borderId="0" xfId="0" applyNumberFormat="1" applyFont="1" applyAlignment="1">
      <alignment horizontal="left" wrapText="1"/>
    </xf>
    <xf numFmtId="9" fontId="2" fillId="0" borderId="0" xfId="0" applyNumberFormat="1" applyFont="1" applyAlignment="1">
      <alignment horizontal="left" wrapText="1"/>
    </xf>
    <xf numFmtId="164" fontId="2" fillId="0" borderId="0" xfId="0" applyNumberFormat="1" applyFont="1" applyAlignment="1">
      <alignment horizontal="left" wrapText="1"/>
    </xf>
    <xf numFmtId="164" fontId="2" fillId="0" borderId="0" xfId="0" applyNumberFormat="1" applyFont="1" applyBorder="1" applyAlignment="1">
      <alignment horizontal="left" wrapText="1"/>
    </xf>
    <xf numFmtId="49" fontId="2" fillId="0" borderId="0" xfId="0" applyNumberFormat="1" applyFont="1" applyFill="1" applyAlignment="1">
      <alignment horizontal="left" wrapText="1"/>
    </xf>
    <xf numFmtId="0" fontId="0" fillId="0" borderId="0" xfId="0" applyFont="1" applyAlignment="1">
      <alignment horizontal="left" wrapText="1"/>
    </xf>
    <xf numFmtId="3" fontId="4" fillId="0" borderId="0" xfId="0" applyNumberFormat="1" applyFont="1" applyAlignment="1">
      <alignment horizontal="left" wrapText="1"/>
    </xf>
    <xf numFmtId="3" fontId="2" fillId="0" borderId="0" xfId="0" applyNumberFormat="1" applyFont="1" applyAlignment="1">
      <alignment horizontal="left" wrapText="1"/>
    </xf>
    <xf numFmtId="3" fontId="2" fillId="0" borderId="0" xfId="0" applyNumberFormat="1" applyFont="1" applyBorder="1" applyAlignment="1">
      <alignment horizontal="left" wrapText="1"/>
    </xf>
    <xf numFmtId="0" fontId="2" fillId="2" borderId="0" xfId="0" applyFont="1" applyFill="1" applyAlignment="1">
      <alignment vertical="center" wrapText="1"/>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0" borderId="2" xfId="0" applyFont="1" applyFill="1" applyBorder="1" applyAlignment="1">
      <alignment vertical="center" wrapText="1"/>
    </xf>
    <xf numFmtId="0" fontId="7" fillId="2" borderId="0" xfId="0" applyFont="1" applyFill="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0" borderId="9" xfId="0" applyFont="1" applyFill="1" applyBorder="1" applyAlignment="1">
      <alignment vertical="center" wrapText="1"/>
    </xf>
    <xf numFmtId="0" fontId="2" fillId="2" borderId="11" xfId="0" applyFont="1" applyFill="1" applyBorder="1" applyAlignment="1">
      <alignment vertical="center" wrapText="1"/>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6" xfId="0" applyFont="1" applyFill="1" applyBorder="1" applyAlignment="1">
      <alignment vertical="center"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0" fontId="2" fillId="2" borderId="16" xfId="0" applyFont="1" applyFill="1" applyBorder="1" applyAlignment="1">
      <alignment vertical="center" wrapText="1"/>
    </xf>
    <xf numFmtId="0" fontId="2" fillId="2" borderId="17" xfId="0" applyFont="1" applyFill="1" applyBorder="1" applyAlignment="1">
      <alignment vertical="center" wrapText="1"/>
    </xf>
    <xf numFmtId="0" fontId="2" fillId="2" borderId="18"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2" borderId="21" xfId="0" applyFont="1" applyFill="1" applyBorder="1" applyAlignment="1">
      <alignment vertical="center" wrapText="1"/>
    </xf>
    <xf numFmtId="0" fontId="2" fillId="2" borderId="22" xfId="0" applyFont="1" applyFill="1" applyBorder="1" applyAlignment="1">
      <alignment vertical="center" wrapText="1"/>
    </xf>
    <xf numFmtId="0" fontId="2" fillId="2" borderId="23"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4"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28" xfId="0" applyFont="1" applyFill="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4" xfId="0" applyFont="1" applyBorder="1" applyAlignment="1">
      <alignment vertical="center" wrapText="1"/>
    </xf>
    <xf numFmtId="20" fontId="2" fillId="0" borderId="0" xfId="0" quotePrefix="1" applyNumberFormat="1" applyFont="1" applyAlignment="1">
      <alignment horizontal="left"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25" xfId="1" applyFont="1" applyFill="1" applyBorder="1" applyAlignment="1">
      <alignment horizontal="center" vertical="center" wrapText="1"/>
    </xf>
  </cellXfs>
  <cellStyles count="2">
    <cellStyle name="Hyperlink" xfId="1" builtinId="8"/>
    <cellStyle name="Normal" xfId="0" builtinId="0"/>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447675</xdr:colOff>
      <xdr:row>15</xdr:row>
      <xdr:rowOff>66675</xdr:rowOff>
    </xdr:to>
    <xdr:sp macro="" textlink="">
      <xdr:nvSpPr>
        <xdr:cNvPr id="2" name="TextBox 1">
          <a:extLst>
            <a:ext uri="{FF2B5EF4-FFF2-40B4-BE49-F238E27FC236}">
              <a16:creationId xmlns:a16="http://schemas.microsoft.com/office/drawing/2014/main" id="{86E76D76-33DD-4A49-BCBA-FE4FEA96DDF4}"/>
            </a:ext>
          </a:extLst>
        </xdr:cNvPr>
        <xdr:cNvSpPr txBox="1"/>
      </xdr:nvSpPr>
      <xdr:spPr>
        <a:xfrm>
          <a:off x="0" y="0"/>
          <a:ext cx="13249275" cy="2495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Column Headings:</a:t>
          </a:r>
          <a:r>
            <a:rPr lang="en-US" sz="1400"/>
            <a:t> </a:t>
          </a:r>
        </a:p>
        <a:p>
          <a:r>
            <a:rPr lang="en-US" sz="1400" b="0" i="0" u="none" strike="noStrike">
              <a:solidFill>
                <a:schemeClr val="dk1"/>
              </a:solidFill>
              <a:effectLst/>
              <a:latin typeface="+mn-lt"/>
              <a:ea typeface="+mn-ea"/>
              <a:cs typeface="+mn-cs"/>
            </a:rPr>
            <a:t>For each section, headings are highlighted in green or white in order to differentiate between different sets of related questions.</a:t>
          </a:r>
          <a:r>
            <a:rPr lang="en-US" sz="1400"/>
            <a:t> </a:t>
          </a:r>
        </a:p>
        <a:p>
          <a:r>
            <a:rPr lang="en-US" sz="1400" b="0" i="0" u="none" strike="noStrike">
              <a:solidFill>
                <a:sysClr val="windowText" lastClr="000000"/>
              </a:solidFill>
              <a:effectLst/>
              <a:latin typeface="+mn-lt"/>
              <a:ea typeface="+mn-ea"/>
              <a:cs typeface="+mn-cs"/>
            </a:rPr>
            <a:t>For example, on the "Perks &amp; Allowances" tab, the Housing or accommodation allowance columns are white, while </a:t>
          </a:r>
          <a:r>
            <a:rPr lang="en-US" sz="1400" b="0" i="0">
              <a:solidFill>
                <a:schemeClr val="dk1"/>
              </a:solidFill>
              <a:effectLst/>
              <a:latin typeface="+mn-lt"/>
              <a:ea typeface="+mn-ea"/>
              <a:cs typeface="+mn-cs"/>
            </a:rPr>
            <a:t>the Relocation assistance</a:t>
          </a:r>
          <a:r>
            <a:rPr lang="en-US" sz="1400" b="0" i="0" baseline="0">
              <a:solidFill>
                <a:schemeClr val="dk1"/>
              </a:solidFill>
              <a:effectLst/>
              <a:latin typeface="+mn-lt"/>
              <a:ea typeface="+mn-ea"/>
              <a:cs typeface="+mn-cs"/>
            </a:rPr>
            <a:t> </a:t>
          </a:r>
          <a:r>
            <a:rPr lang="en-US" sz="1400" b="0" i="0">
              <a:solidFill>
                <a:schemeClr val="dk1"/>
              </a:solidFill>
              <a:effectLst/>
              <a:latin typeface="+mn-lt"/>
              <a:ea typeface="+mn-ea"/>
              <a:cs typeface="+mn-cs"/>
            </a:rPr>
            <a:t>columns are green</a:t>
          </a:r>
          <a:r>
            <a:rPr lang="en-US" sz="1400" b="0" i="0" u="none" strike="noStrike">
              <a:solidFill>
                <a:sysClr val="windowText" lastClr="000000"/>
              </a:solidFill>
              <a:effectLst/>
              <a:latin typeface="+mn-lt"/>
              <a:ea typeface="+mn-ea"/>
              <a:cs typeface="+mn-cs"/>
            </a:rPr>
            <a:t>.</a:t>
          </a:r>
          <a:r>
            <a:rPr lang="en-US" sz="1400">
              <a:solidFill>
                <a:sysClr val="windowText" lastClr="000000"/>
              </a:solidFill>
            </a:rPr>
            <a:t> </a:t>
          </a:r>
        </a:p>
        <a:p>
          <a:endParaRPr lang="en-US" sz="1400" b="1" i="0" u="none" strike="noStrike">
            <a:solidFill>
              <a:sysClr val="windowText" lastClr="000000"/>
            </a:solidFill>
            <a:effectLst/>
            <a:latin typeface="+mn-lt"/>
            <a:ea typeface="+mn-ea"/>
            <a:cs typeface="+mn-cs"/>
          </a:endParaRPr>
        </a:p>
        <a:p>
          <a:r>
            <a:rPr lang="en-US" sz="1400" b="1" i="0" u="none" strike="noStrike">
              <a:solidFill>
                <a:sysClr val="windowText" lastClr="000000"/>
              </a:solidFill>
              <a:effectLst/>
              <a:latin typeface="+mn-lt"/>
              <a:ea typeface="+mn-ea"/>
              <a:cs typeface="+mn-cs"/>
            </a:rPr>
            <a:t>"N" Counts:</a:t>
          </a:r>
        </a:p>
        <a:p>
          <a:r>
            <a:rPr lang="en-US" sz="1400" b="0" i="0" u="none" strike="noStrike" baseline="0">
              <a:solidFill>
                <a:sysClr val="windowText" lastClr="000000"/>
              </a:solidFill>
              <a:effectLst/>
              <a:latin typeface="+mn-lt"/>
              <a:ea typeface="+mn-ea"/>
              <a:cs typeface="+mn-cs"/>
            </a:rPr>
            <a:t>The final row of each tab includes the "N" counts that indicate the number of companies that responded to each question.</a:t>
          </a:r>
          <a:endParaRPr lang="en-US" sz="1400" b="0" i="0" u="none" strike="noStrike">
            <a:solidFill>
              <a:sysClr val="windowText" lastClr="000000"/>
            </a:solidFill>
            <a:effectLst/>
            <a:latin typeface="+mn-lt"/>
            <a:ea typeface="+mn-ea"/>
            <a:cs typeface="+mn-cs"/>
          </a:endParaRPr>
        </a:p>
        <a:p>
          <a:endParaRPr lang="en-US" sz="1400" b="1" i="0" u="none" strike="noStrike">
            <a:solidFill>
              <a:sysClr val="windowText" lastClr="000000"/>
            </a:solidFill>
            <a:effectLst/>
            <a:latin typeface="+mn-lt"/>
            <a:ea typeface="+mn-ea"/>
            <a:cs typeface="+mn-cs"/>
          </a:endParaRPr>
        </a:p>
        <a:p>
          <a:r>
            <a:rPr lang="en-US" sz="1400" b="1" i="0" u="none" strike="noStrike">
              <a:solidFill>
                <a:schemeClr val="dk1"/>
              </a:solidFill>
              <a:effectLst/>
              <a:latin typeface="+mn-lt"/>
              <a:ea typeface="+mn-ea"/>
              <a:cs typeface="+mn-cs"/>
            </a:rPr>
            <a:t>Instructions for Using Index:</a:t>
          </a:r>
          <a:r>
            <a:rPr lang="en-US" sz="1400"/>
            <a:t> </a:t>
          </a:r>
        </a:p>
        <a:p>
          <a:r>
            <a:rPr lang="en-US" sz="1400" b="0" i="0" u="none" strike="noStrike">
              <a:solidFill>
                <a:schemeClr val="dk1"/>
              </a:solidFill>
              <a:effectLst/>
              <a:latin typeface="+mn-lt"/>
              <a:ea typeface="+mn-ea"/>
              <a:cs typeface="+mn-cs"/>
            </a:rPr>
            <a:t>1.) Select the "Index" tab</a:t>
          </a:r>
          <a:r>
            <a:rPr lang="en-US" sz="1400"/>
            <a:t> </a:t>
          </a:r>
        </a:p>
        <a:p>
          <a:r>
            <a:rPr lang="en-US" sz="1400" b="0" i="0" u="none" strike="noStrike">
              <a:solidFill>
                <a:schemeClr val="dk1"/>
              </a:solidFill>
              <a:effectLst/>
              <a:latin typeface="+mn-lt"/>
              <a:ea typeface="+mn-ea"/>
              <a:cs typeface="+mn-cs"/>
            </a:rPr>
            <a:t>2.) Use the Find function (e.g., CTRL + F) to locate the information you are seeking by using key words (</a:t>
          </a:r>
          <a:r>
            <a:rPr lang="en-US" sz="1400" b="0" i="0" u="none" strike="noStrike">
              <a:solidFill>
                <a:sysClr val="windowText" lastClr="000000"/>
              </a:solidFill>
              <a:effectLst/>
              <a:latin typeface="+mn-lt"/>
              <a:ea typeface="+mn-ea"/>
              <a:cs typeface="+mn-cs"/>
            </a:rPr>
            <a:t>e.g., "Financial Wellbeing").</a:t>
          </a:r>
          <a:r>
            <a:rPr lang="en-US" sz="1400">
              <a:solidFill>
                <a:sysClr val="windowText" lastClr="000000"/>
              </a:solidFill>
            </a:rPr>
            <a:t> </a:t>
          </a:r>
        </a:p>
        <a:p>
          <a:r>
            <a:rPr lang="en-US" sz="1400" b="0" i="0" u="none" strike="noStrike">
              <a:solidFill>
                <a:schemeClr val="dk1"/>
              </a:solidFill>
              <a:effectLst/>
              <a:latin typeface="+mn-lt"/>
              <a:ea typeface="+mn-ea"/>
              <a:cs typeface="+mn-cs"/>
            </a:rPr>
            <a:t>3.) After finding the question you wish to view, click</a:t>
          </a:r>
          <a:r>
            <a:rPr lang="en-US" sz="1400" b="0" i="0" u="none" strike="noStrike" baseline="0">
              <a:solidFill>
                <a:schemeClr val="dk1"/>
              </a:solidFill>
              <a:effectLst/>
              <a:latin typeface="+mn-lt"/>
              <a:ea typeface="+mn-ea"/>
              <a:cs typeface="+mn-cs"/>
            </a:rPr>
            <a:t> on</a:t>
          </a:r>
          <a:r>
            <a:rPr lang="en-US" sz="1400" b="0" i="0" u="none" strike="noStrike">
              <a:solidFill>
                <a:schemeClr val="dk1"/>
              </a:solidFill>
              <a:effectLst/>
              <a:latin typeface="+mn-lt"/>
              <a:ea typeface="+mn-ea"/>
              <a:cs typeface="+mn-cs"/>
            </a:rPr>
            <a:t> the question</a:t>
          </a:r>
          <a:r>
            <a:rPr lang="en-US" sz="1400" b="0" i="0" u="none" strike="noStrike" baseline="0">
              <a:solidFill>
                <a:schemeClr val="dk1"/>
              </a:solidFill>
              <a:effectLst/>
              <a:latin typeface="+mn-lt"/>
              <a:ea typeface="+mn-ea"/>
              <a:cs typeface="+mn-cs"/>
            </a:rPr>
            <a:t> number</a:t>
          </a:r>
          <a:r>
            <a:rPr lang="en-US" sz="1400" b="0" i="0" u="none" strike="noStrike">
              <a:solidFill>
                <a:schemeClr val="dk1"/>
              </a:solidFill>
              <a:effectLst/>
              <a:latin typeface="+mn-lt"/>
              <a:ea typeface="+mn-ea"/>
              <a:cs typeface="+mn-cs"/>
            </a:rPr>
            <a:t> or description to be taken directly to that question's data.</a:t>
          </a:r>
          <a:r>
            <a:rPr lang="en-US" sz="1400"/>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DF67C-B94F-4A67-A18E-1852C0F28085}">
  <sheetPr>
    <tabColor theme="8" tint="-0.249977111117893"/>
  </sheetPr>
  <dimension ref="A1"/>
  <sheetViews>
    <sheetView tabSelected="1" workbookViewId="0"/>
  </sheetViews>
  <sheetFormatPr defaultRowHeight="12.7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P66"/>
  <sheetViews>
    <sheetView zoomScaleNormal="100" workbookViewId="0">
      <pane xSplit="1" ySplit="2" topLeftCell="B3" activePane="bottomRight" state="frozen"/>
      <selection sqref="A1:B1"/>
      <selection pane="topRight" sqref="A1:B1"/>
      <selection pane="bottomLeft" sqref="A1:B1"/>
      <selection pane="bottomRight" activeCell="B3" sqref="B3"/>
    </sheetView>
  </sheetViews>
  <sheetFormatPr defaultRowHeight="12.75" x14ac:dyDescent="0.2"/>
  <cols>
    <col min="1" max="1" width="13.5703125" style="34" bestFit="1" customWidth="1"/>
    <col min="2" max="2" width="50.7109375" style="7" customWidth="1"/>
    <col min="3" max="8" width="30.7109375" style="7" customWidth="1"/>
    <col min="9" max="9" width="60.7109375" style="7" customWidth="1"/>
    <col min="10" max="23" width="30.7109375" style="7" customWidth="1"/>
    <col min="24" max="24" width="50.7109375" style="7" customWidth="1"/>
    <col min="25" max="29" width="30.7109375" style="7" customWidth="1"/>
    <col min="30" max="30" width="50.7109375" style="7" customWidth="1"/>
    <col min="31" max="62" width="30.7109375" style="7" customWidth="1"/>
    <col min="63" max="63" width="50.7109375" style="7" customWidth="1"/>
    <col min="64" max="70" width="30.7109375" style="7" customWidth="1"/>
    <col min="71" max="71" width="60.7109375" style="7" customWidth="1"/>
    <col min="72" max="93" width="30.7109375" style="7" customWidth="1"/>
    <col min="94" max="94" width="50.7109375" style="7" customWidth="1"/>
    <col min="95" max="95" width="60.7109375" style="7" customWidth="1"/>
    <col min="96" max="162" width="30.7109375" style="7" customWidth="1"/>
    <col min="163" max="163" width="50.7109375" style="7" customWidth="1"/>
    <col min="164" max="169" width="30.7109375" style="7" customWidth="1"/>
    <col min="170" max="170" width="50.7109375" style="7" customWidth="1"/>
    <col min="171" max="172" width="30.7109375" style="7" customWidth="1"/>
    <col min="173" max="16384" width="9.140625" style="34"/>
  </cols>
  <sheetData>
    <row r="1" spans="1:172" s="3" customFormat="1" x14ac:dyDescent="0.2">
      <c r="A1" s="19" t="s">
        <v>969</v>
      </c>
      <c r="B1" s="1" t="s">
        <v>492</v>
      </c>
      <c r="C1" s="1" t="s">
        <v>493</v>
      </c>
      <c r="D1" s="1" t="s">
        <v>494</v>
      </c>
      <c r="E1" s="1" t="s">
        <v>495</v>
      </c>
      <c r="F1" s="1" t="s">
        <v>496</v>
      </c>
      <c r="G1" s="1" t="s">
        <v>497</v>
      </c>
      <c r="H1" s="1" t="s">
        <v>498</v>
      </c>
      <c r="I1" s="1" t="s">
        <v>499</v>
      </c>
      <c r="J1" s="1" t="s">
        <v>500</v>
      </c>
      <c r="K1" s="1" t="s">
        <v>501</v>
      </c>
      <c r="L1" s="1" t="s">
        <v>502</v>
      </c>
      <c r="M1" s="1" t="s">
        <v>503</v>
      </c>
      <c r="N1" s="1" t="s">
        <v>504</v>
      </c>
      <c r="O1" s="1" t="s">
        <v>505</v>
      </c>
      <c r="P1" s="1" t="s">
        <v>506</v>
      </c>
      <c r="Q1" s="1" t="s">
        <v>507</v>
      </c>
      <c r="R1" s="1" t="s">
        <v>508</v>
      </c>
      <c r="S1" s="1" t="s">
        <v>509</v>
      </c>
      <c r="T1" s="1" t="s">
        <v>510</v>
      </c>
      <c r="U1" s="1" t="s">
        <v>511</v>
      </c>
      <c r="V1" s="1" t="s">
        <v>512</v>
      </c>
      <c r="W1" s="1" t="s">
        <v>513</v>
      </c>
      <c r="X1" s="1" t="s">
        <v>514</v>
      </c>
      <c r="Y1" s="1" t="s">
        <v>515</v>
      </c>
      <c r="Z1" s="1" t="s">
        <v>516</v>
      </c>
      <c r="AA1" s="1" t="s">
        <v>517</v>
      </c>
      <c r="AB1" s="1" t="s">
        <v>518</v>
      </c>
      <c r="AC1" s="1" t="s">
        <v>519</v>
      </c>
      <c r="AD1" s="1" t="s">
        <v>520</v>
      </c>
      <c r="AE1" s="1" t="s">
        <v>521</v>
      </c>
      <c r="AF1" s="1" t="s">
        <v>522</v>
      </c>
      <c r="AG1" s="1" t="s">
        <v>523</v>
      </c>
      <c r="AH1" s="1" t="s">
        <v>524</v>
      </c>
      <c r="AI1" s="1" t="s">
        <v>525</v>
      </c>
      <c r="AJ1" s="1" t="s">
        <v>526</v>
      </c>
      <c r="AK1" s="1" t="s">
        <v>527</v>
      </c>
      <c r="AL1" s="1" t="s">
        <v>528</v>
      </c>
      <c r="AM1" s="1" t="s">
        <v>529</v>
      </c>
      <c r="AN1" s="1" t="s">
        <v>530</v>
      </c>
      <c r="AO1" s="1" t="s">
        <v>531</v>
      </c>
      <c r="AP1" s="1" t="s">
        <v>532</v>
      </c>
      <c r="AQ1" s="1" t="s">
        <v>533</v>
      </c>
      <c r="AR1" s="1" t="s">
        <v>534</v>
      </c>
      <c r="AS1" s="1" t="s">
        <v>535</v>
      </c>
      <c r="AT1" s="1" t="s">
        <v>536</v>
      </c>
      <c r="AU1" s="1" t="s">
        <v>537</v>
      </c>
      <c r="AV1" s="1" t="s">
        <v>538</v>
      </c>
      <c r="AW1" s="1" t="s">
        <v>539</v>
      </c>
      <c r="AX1" s="1" t="s">
        <v>540</v>
      </c>
      <c r="AY1" s="1" t="s">
        <v>541</v>
      </c>
      <c r="AZ1" s="1" t="s">
        <v>542</v>
      </c>
      <c r="BA1" s="1" t="s">
        <v>543</v>
      </c>
      <c r="BB1" s="1" t="s">
        <v>544</v>
      </c>
      <c r="BC1" s="1" t="s">
        <v>545</v>
      </c>
      <c r="BD1" s="1" t="s">
        <v>546</v>
      </c>
      <c r="BE1" s="1" t="s">
        <v>547</v>
      </c>
      <c r="BF1" s="1" t="s">
        <v>548</v>
      </c>
      <c r="BG1" s="1" t="s">
        <v>549</v>
      </c>
      <c r="BH1" s="1" t="s">
        <v>550</v>
      </c>
      <c r="BI1" s="1" t="s">
        <v>551</v>
      </c>
      <c r="BJ1" s="1" t="s">
        <v>552</v>
      </c>
      <c r="BK1" s="1" t="s">
        <v>553</v>
      </c>
      <c r="BL1" s="1" t="s">
        <v>554</v>
      </c>
      <c r="BM1" s="1" t="s">
        <v>555</v>
      </c>
      <c r="BN1" s="1" t="s">
        <v>556</v>
      </c>
      <c r="BO1" s="1" t="s">
        <v>557</v>
      </c>
      <c r="BP1" s="1" t="s">
        <v>558</v>
      </c>
      <c r="BQ1" s="1" t="s">
        <v>559</v>
      </c>
      <c r="BR1" s="1" t="s">
        <v>560</v>
      </c>
      <c r="BS1" s="1" t="s">
        <v>561</v>
      </c>
      <c r="BT1" s="1" t="s">
        <v>562</v>
      </c>
      <c r="BU1" s="1" t="s">
        <v>563</v>
      </c>
      <c r="BV1" s="1" t="s">
        <v>564</v>
      </c>
      <c r="BW1" s="1" t="s">
        <v>565</v>
      </c>
      <c r="BX1" s="1" t="s">
        <v>566</v>
      </c>
      <c r="BY1" s="1" t="s">
        <v>567</v>
      </c>
      <c r="BZ1" s="1" t="s">
        <v>568</v>
      </c>
      <c r="CA1" s="1" t="s">
        <v>569</v>
      </c>
      <c r="CB1" s="1" t="s">
        <v>570</v>
      </c>
      <c r="CC1" s="1" t="s">
        <v>571</v>
      </c>
      <c r="CD1" s="1" t="s">
        <v>572</v>
      </c>
      <c r="CE1" s="1" t="s">
        <v>573</v>
      </c>
      <c r="CF1" s="1" t="s">
        <v>574</v>
      </c>
      <c r="CG1" s="1" t="s">
        <v>575</v>
      </c>
      <c r="CH1" s="1" t="s">
        <v>576</v>
      </c>
      <c r="CI1" s="1" t="s">
        <v>577</v>
      </c>
      <c r="CJ1" s="1" t="s">
        <v>578</v>
      </c>
      <c r="CK1" s="1" t="s">
        <v>579</v>
      </c>
      <c r="CL1" s="1" t="s">
        <v>580</v>
      </c>
      <c r="CM1" s="1" t="s">
        <v>581</v>
      </c>
      <c r="CN1" s="1" t="s">
        <v>582</v>
      </c>
      <c r="CO1" s="1" t="s">
        <v>583</v>
      </c>
      <c r="CP1" s="1" t="s">
        <v>584</v>
      </c>
      <c r="CQ1" s="1" t="s">
        <v>585</v>
      </c>
      <c r="CR1" s="1" t="s">
        <v>586</v>
      </c>
      <c r="CS1" s="1" t="s">
        <v>587</v>
      </c>
      <c r="CT1" s="1" t="s">
        <v>588</v>
      </c>
      <c r="CU1" s="1" t="s">
        <v>589</v>
      </c>
      <c r="CV1" s="1" t="s">
        <v>590</v>
      </c>
      <c r="CW1" s="1" t="s">
        <v>591</v>
      </c>
      <c r="CX1" s="1" t="s">
        <v>592</v>
      </c>
      <c r="CY1" s="1" t="s">
        <v>593</v>
      </c>
      <c r="CZ1" s="1" t="s">
        <v>594</v>
      </c>
      <c r="DA1" s="1" t="s">
        <v>595</v>
      </c>
      <c r="DB1" s="1" t="s">
        <v>596</v>
      </c>
      <c r="DC1" s="1" t="s">
        <v>597</v>
      </c>
      <c r="DD1" s="1" t="s">
        <v>598</v>
      </c>
      <c r="DE1" s="1" t="s">
        <v>599</v>
      </c>
      <c r="DF1" s="1" t="s">
        <v>600</v>
      </c>
      <c r="DG1" s="1" t="s">
        <v>601</v>
      </c>
      <c r="DH1" s="1" t="s">
        <v>602</v>
      </c>
      <c r="DI1" s="1" t="s">
        <v>603</v>
      </c>
      <c r="DJ1" s="1" t="s">
        <v>604</v>
      </c>
      <c r="DK1" s="1" t="s">
        <v>605</v>
      </c>
      <c r="DL1" s="1" t="s">
        <v>606</v>
      </c>
      <c r="DM1" s="1" t="s">
        <v>607</v>
      </c>
      <c r="DN1" s="1" t="s">
        <v>608</v>
      </c>
      <c r="DO1" s="1" t="s">
        <v>609</v>
      </c>
      <c r="DP1" s="1" t="s">
        <v>610</v>
      </c>
      <c r="DQ1" s="1" t="s">
        <v>611</v>
      </c>
      <c r="DR1" s="1" t="s">
        <v>612</v>
      </c>
      <c r="DS1" s="1" t="s">
        <v>613</v>
      </c>
      <c r="DT1" s="1" t="s">
        <v>614</v>
      </c>
      <c r="DU1" s="1" t="s">
        <v>615</v>
      </c>
      <c r="DV1" s="1" t="s">
        <v>616</v>
      </c>
      <c r="DW1" s="1" t="s">
        <v>617</v>
      </c>
      <c r="DX1" s="1" t="s">
        <v>618</v>
      </c>
      <c r="DY1" s="1" t="s">
        <v>619</v>
      </c>
      <c r="DZ1" s="1" t="s">
        <v>620</v>
      </c>
      <c r="EA1" s="1" t="s">
        <v>621</v>
      </c>
      <c r="EB1" s="1" t="s">
        <v>622</v>
      </c>
      <c r="EC1" s="1" t="s">
        <v>623</v>
      </c>
      <c r="ED1" s="1" t="s">
        <v>624</v>
      </c>
      <c r="EE1" s="1" t="s">
        <v>625</v>
      </c>
      <c r="EF1" s="1" t="s">
        <v>626</v>
      </c>
      <c r="EG1" s="1" t="s">
        <v>627</v>
      </c>
      <c r="EH1" s="1" t="s">
        <v>628</v>
      </c>
      <c r="EI1" s="1" t="s">
        <v>629</v>
      </c>
      <c r="EJ1" s="1" t="s">
        <v>630</v>
      </c>
      <c r="EK1" s="1" t="s">
        <v>631</v>
      </c>
      <c r="EL1" s="1" t="s">
        <v>632</v>
      </c>
      <c r="EM1" s="1" t="s">
        <v>633</v>
      </c>
      <c r="EN1" s="1" t="s">
        <v>634</v>
      </c>
      <c r="EO1" s="1" t="s">
        <v>635</v>
      </c>
      <c r="EP1" s="1" t="s">
        <v>636</v>
      </c>
      <c r="EQ1" s="1" t="s">
        <v>637</v>
      </c>
      <c r="ER1" s="1" t="s">
        <v>638</v>
      </c>
      <c r="ES1" s="1" t="s">
        <v>639</v>
      </c>
      <c r="ET1" s="1" t="s">
        <v>640</v>
      </c>
      <c r="EU1" s="1" t="s">
        <v>641</v>
      </c>
      <c r="EV1" s="1" t="s">
        <v>642</v>
      </c>
      <c r="EW1" s="1" t="s">
        <v>643</v>
      </c>
      <c r="EX1" s="1" t="s">
        <v>644</v>
      </c>
      <c r="EY1" s="1" t="s">
        <v>645</v>
      </c>
      <c r="EZ1" s="1" t="s">
        <v>646</v>
      </c>
      <c r="FA1" s="1" t="s">
        <v>647</v>
      </c>
      <c r="FB1" s="1" t="s">
        <v>648</v>
      </c>
      <c r="FC1" s="1" t="s">
        <v>649</v>
      </c>
      <c r="FD1" s="1" t="s">
        <v>650</v>
      </c>
      <c r="FE1" s="1" t="s">
        <v>651</v>
      </c>
      <c r="FF1" s="1" t="s">
        <v>652</v>
      </c>
      <c r="FG1" s="1" t="s">
        <v>653</v>
      </c>
      <c r="FH1" s="1" t="s">
        <v>654</v>
      </c>
      <c r="FI1" s="1" t="s">
        <v>655</v>
      </c>
      <c r="FJ1" s="1" t="s">
        <v>656</v>
      </c>
      <c r="FK1" s="1" t="s">
        <v>657</v>
      </c>
      <c r="FL1" s="1" t="s">
        <v>658</v>
      </c>
      <c r="FM1" s="1" t="s">
        <v>659</v>
      </c>
      <c r="FN1" s="1" t="s">
        <v>660</v>
      </c>
      <c r="FO1" s="1" t="s">
        <v>661</v>
      </c>
      <c r="FP1" s="1" t="s">
        <v>662</v>
      </c>
    </row>
    <row r="2" spans="1:172" s="33" customFormat="1" ht="51" x14ac:dyDescent="0.2">
      <c r="A2" s="33" t="s">
        <v>968</v>
      </c>
      <c r="B2" s="4" t="s">
        <v>3028</v>
      </c>
      <c r="C2" s="1" t="s">
        <v>3029</v>
      </c>
      <c r="D2" s="1" t="s">
        <v>3452</v>
      </c>
      <c r="E2" s="4" t="s">
        <v>3030</v>
      </c>
      <c r="F2" s="4" t="s">
        <v>3031</v>
      </c>
      <c r="G2" s="1" t="s">
        <v>3032</v>
      </c>
      <c r="H2" s="4" t="s">
        <v>3033</v>
      </c>
      <c r="I2" s="4" t="s">
        <v>3451</v>
      </c>
      <c r="J2" s="1" t="s">
        <v>3034</v>
      </c>
      <c r="K2" s="1" t="s">
        <v>3035</v>
      </c>
      <c r="L2" s="1" t="s">
        <v>3036</v>
      </c>
      <c r="M2" s="1" t="s">
        <v>3037</v>
      </c>
      <c r="N2" s="1" t="s">
        <v>3038</v>
      </c>
      <c r="O2" s="1" t="s">
        <v>3039</v>
      </c>
      <c r="P2" s="1" t="s">
        <v>3040</v>
      </c>
      <c r="Q2" s="1" t="s">
        <v>3041</v>
      </c>
      <c r="R2" s="1" t="s">
        <v>3042</v>
      </c>
      <c r="S2" s="4" t="s">
        <v>3043</v>
      </c>
      <c r="T2" s="4" t="s">
        <v>3044</v>
      </c>
      <c r="U2" s="1" t="s">
        <v>3045</v>
      </c>
      <c r="V2" s="1" t="s">
        <v>3046</v>
      </c>
      <c r="W2" s="4" t="s">
        <v>3047</v>
      </c>
      <c r="X2" s="4" t="s">
        <v>3048</v>
      </c>
      <c r="Y2" s="1" t="s">
        <v>3049</v>
      </c>
      <c r="Z2" s="1" t="s">
        <v>3050</v>
      </c>
      <c r="AA2" s="4" t="s">
        <v>3051</v>
      </c>
      <c r="AB2" s="1" t="s">
        <v>3052</v>
      </c>
      <c r="AC2" s="4" t="s">
        <v>3053</v>
      </c>
      <c r="AD2" s="4" t="s">
        <v>3453</v>
      </c>
      <c r="AE2" s="1" t="s">
        <v>3054</v>
      </c>
      <c r="AF2" s="1" t="s">
        <v>3055</v>
      </c>
      <c r="AG2" s="4" t="s">
        <v>3454</v>
      </c>
      <c r="AH2" s="1" t="s">
        <v>3056</v>
      </c>
      <c r="AI2" s="4" t="s">
        <v>3057</v>
      </c>
      <c r="AJ2" s="4" t="s">
        <v>3058</v>
      </c>
      <c r="AK2" s="1" t="s">
        <v>3059</v>
      </c>
      <c r="AL2" s="1" t="s">
        <v>3060</v>
      </c>
      <c r="AM2" s="4" t="s">
        <v>3061</v>
      </c>
      <c r="AN2" s="1" t="s">
        <v>3062</v>
      </c>
      <c r="AO2" s="4" t="s">
        <v>3063</v>
      </c>
      <c r="AP2" s="4" t="s">
        <v>3064</v>
      </c>
      <c r="AQ2" s="1" t="s">
        <v>3065</v>
      </c>
      <c r="AR2" s="1" t="s">
        <v>3066</v>
      </c>
      <c r="AS2" s="4" t="s">
        <v>3067</v>
      </c>
      <c r="AT2" s="1" t="s">
        <v>3068</v>
      </c>
      <c r="AU2" s="4" t="s">
        <v>3069</v>
      </c>
      <c r="AV2" s="4" t="s">
        <v>3070</v>
      </c>
      <c r="AW2" s="1" t="s">
        <v>3071</v>
      </c>
      <c r="AX2" s="1" t="s">
        <v>3072</v>
      </c>
      <c r="AY2" s="4" t="s">
        <v>3073</v>
      </c>
      <c r="AZ2" s="1" t="s">
        <v>3074</v>
      </c>
      <c r="BA2" s="4" t="s">
        <v>3075</v>
      </c>
      <c r="BB2" s="4" t="s">
        <v>3076</v>
      </c>
      <c r="BC2" s="1" t="s">
        <v>3077</v>
      </c>
      <c r="BD2" s="1" t="s">
        <v>3078</v>
      </c>
      <c r="BE2" s="4" t="s">
        <v>3079</v>
      </c>
      <c r="BF2" s="1" t="s">
        <v>3080</v>
      </c>
      <c r="BG2" s="4" t="s">
        <v>3081</v>
      </c>
      <c r="BH2" s="4" t="s">
        <v>3082</v>
      </c>
      <c r="BI2" s="1" t="s">
        <v>3083</v>
      </c>
      <c r="BJ2" s="1" t="s">
        <v>3084</v>
      </c>
      <c r="BK2" s="4" t="s">
        <v>3085</v>
      </c>
      <c r="BL2" s="4" t="s">
        <v>3086</v>
      </c>
      <c r="BM2" s="1" t="s">
        <v>3087</v>
      </c>
      <c r="BN2" s="4" t="s">
        <v>3088</v>
      </c>
      <c r="BO2" s="1" t="s">
        <v>3089</v>
      </c>
      <c r="BP2" s="4" t="s">
        <v>3090</v>
      </c>
      <c r="BQ2" s="4" t="s">
        <v>3455</v>
      </c>
      <c r="BR2" s="1" t="s">
        <v>3091</v>
      </c>
      <c r="BS2" s="1" t="s">
        <v>3092</v>
      </c>
      <c r="BT2" s="4" t="s">
        <v>3093</v>
      </c>
      <c r="BU2" s="4" t="s">
        <v>3094</v>
      </c>
      <c r="BV2" s="1" t="s">
        <v>3095</v>
      </c>
      <c r="BW2" s="4" t="s">
        <v>3096</v>
      </c>
      <c r="BX2" s="1" t="s">
        <v>3097</v>
      </c>
      <c r="BY2" s="4" t="s">
        <v>3098</v>
      </c>
      <c r="BZ2" s="4" t="s">
        <v>3099</v>
      </c>
      <c r="CA2" s="4" t="s">
        <v>3100</v>
      </c>
      <c r="CB2" s="4" t="s">
        <v>3101</v>
      </c>
      <c r="CC2" s="4" t="s">
        <v>3102</v>
      </c>
      <c r="CD2" s="1" t="s">
        <v>3103</v>
      </c>
      <c r="CE2" s="1" t="s">
        <v>3104</v>
      </c>
      <c r="CF2" s="4" t="s">
        <v>3105</v>
      </c>
      <c r="CG2" s="4" t="s">
        <v>3106</v>
      </c>
      <c r="CH2" s="1" t="s">
        <v>3107</v>
      </c>
      <c r="CI2" s="4" t="s">
        <v>3108</v>
      </c>
      <c r="CJ2" s="1" t="s">
        <v>3109</v>
      </c>
      <c r="CK2" s="1" t="s">
        <v>3110</v>
      </c>
      <c r="CL2" s="4" t="s">
        <v>3111</v>
      </c>
      <c r="CM2" s="4" t="s">
        <v>3112</v>
      </c>
      <c r="CN2" s="1" t="s">
        <v>3113</v>
      </c>
      <c r="CO2" s="4" t="s">
        <v>3114</v>
      </c>
      <c r="CP2" s="1" t="s">
        <v>3115</v>
      </c>
      <c r="CQ2" s="1" t="s">
        <v>3116</v>
      </c>
      <c r="CR2" s="4" t="s">
        <v>3117</v>
      </c>
      <c r="CS2" s="4" t="s">
        <v>3118</v>
      </c>
      <c r="CT2" s="4" t="s">
        <v>3119</v>
      </c>
      <c r="CU2" s="4" t="s">
        <v>3120</v>
      </c>
      <c r="CV2" s="4" t="s">
        <v>3121</v>
      </c>
      <c r="CW2" s="4" t="s">
        <v>3122</v>
      </c>
      <c r="CX2" s="4" t="s">
        <v>3123</v>
      </c>
      <c r="CY2" s="4" t="s">
        <v>3124</v>
      </c>
      <c r="CZ2" s="4" t="s">
        <v>3125</v>
      </c>
      <c r="DA2" s="4" t="s">
        <v>3126</v>
      </c>
      <c r="DB2" s="4" t="s">
        <v>3127</v>
      </c>
      <c r="DC2" s="4" t="s">
        <v>3128</v>
      </c>
      <c r="DD2" s="4" t="s">
        <v>3129</v>
      </c>
      <c r="DE2" s="4" t="s">
        <v>3130</v>
      </c>
      <c r="DF2" s="4" t="s">
        <v>3131</v>
      </c>
      <c r="DG2" s="4" t="s">
        <v>3132</v>
      </c>
      <c r="DH2" s="4" t="s">
        <v>3133</v>
      </c>
      <c r="DI2" s="4" t="s">
        <v>3134</v>
      </c>
      <c r="DJ2" s="4" t="s">
        <v>3135</v>
      </c>
      <c r="DK2" s="4" t="s">
        <v>3116</v>
      </c>
      <c r="DL2" s="1" t="s">
        <v>3136</v>
      </c>
      <c r="DM2" s="1" t="s">
        <v>3137</v>
      </c>
      <c r="DN2" s="4" t="s">
        <v>3138</v>
      </c>
      <c r="DO2" s="4" t="s">
        <v>3139</v>
      </c>
      <c r="DP2" s="1" t="s">
        <v>3140</v>
      </c>
      <c r="DQ2" s="1" t="s">
        <v>3141</v>
      </c>
      <c r="DR2" s="4" t="s">
        <v>3142</v>
      </c>
      <c r="DS2" s="1" t="s">
        <v>3143</v>
      </c>
      <c r="DT2" s="4" t="s">
        <v>3144</v>
      </c>
      <c r="DU2" s="4" t="s">
        <v>3145</v>
      </c>
      <c r="DV2" s="1" t="s">
        <v>3146</v>
      </c>
      <c r="DW2" s="1" t="s">
        <v>3147</v>
      </c>
      <c r="DX2" s="4" t="s">
        <v>3148</v>
      </c>
      <c r="DY2" s="1" t="s">
        <v>3149</v>
      </c>
      <c r="DZ2" s="4" t="s">
        <v>3150</v>
      </c>
      <c r="EA2" s="4" t="s">
        <v>3151</v>
      </c>
      <c r="EB2" s="1" t="s">
        <v>3152</v>
      </c>
      <c r="EC2" s="1" t="s">
        <v>3153</v>
      </c>
      <c r="ED2" s="4" t="s">
        <v>3154</v>
      </c>
      <c r="EE2" s="1" t="s">
        <v>3155</v>
      </c>
      <c r="EF2" s="4" t="s">
        <v>3156</v>
      </c>
      <c r="EG2" s="1" t="s">
        <v>3157</v>
      </c>
      <c r="EH2" s="1" t="s">
        <v>3158</v>
      </c>
      <c r="EI2" s="4" t="s">
        <v>3159</v>
      </c>
      <c r="EJ2" s="4" t="s">
        <v>3160</v>
      </c>
      <c r="EK2" s="1" t="s">
        <v>3161</v>
      </c>
      <c r="EL2" s="4" t="s">
        <v>3162</v>
      </c>
      <c r="EM2" s="4" t="s">
        <v>3163</v>
      </c>
      <c r="EN2" s="1" t="s">
        <v>3164</v>
      </c>
      <c r="EO2" s="4" t="s">
        <v>3165</v>
      </c>
      <c r="EP2" s="4" t="s">
        <v>3166</v>
      </c>
      <c r="EQ2" s="1" t="s">
        <v>3167</v>
      </c>
      <c r="ER2" s="1" t="s">
        <v>3168</v>
      </c>
      <c r="ES2" s="4" t="s">
        <v>3169</v>
      </c>
      <c r="ET2" s="1" t="s">
        <v>3170</v>
      </c>
      <c r="EU2" s="4" t="s">
        <v>3171</v>
      </c>
      <c r="EV2" s="4" t="s">
        <v>3172</v>
      </c>
      <c r="EW2" s="1" t="s">
        <v>3173</v>
      </c>
      <c r="EX2" s="1" t="s">
        <v>3174</v>
      </c>
      <c r="EY2" s="4" t="s">
        <v>3175</v>
      </c>
      <c r="EZ2" s="1" t="s">
        <v>3176</v>
      </c>
      <c r="FA2" s="4" t="s">
        <v>3177</v>
      </c>
      <c r="FB2" s="4" t="s">
        <v>3178</v>
      </c>
      <c r="FC2" s="1" t="s">
        <v>3179</v>
      </c>
      <c r="FD2" s="1" t="s">
        <v>3180</v>
      </c>
      <c r="FE2" s="4" t="s">
        <v>3181</v>
      </c>
      <c r="FF2" s="1" t="s">
        <v>3182</v>
      </c>
      <c r="FG2" s="4" t="s">
        <v>3183</v>
      </c>
      <c r="FH2" s="1" t="s">
        <v>3184</v>
      </c>
      <c r="FI2" s="1" t="s">
        <v>3185</v>
      </c>
      <c r="FJ2" s="4" t="s">
        <v>3186</v>
      </c>
      <c r="FK2" s="4" t="s">
        <v>3187</v>
      </c>
      <c r="FL2" s="1" t="s">
        <v>3188</v>
      </c>
      <c r="FM2" s="4" t="s">
        <v>3189</v>
      </c>
      <c r="FN2" s="1" t="s">
        <v>3190</v>
      </c>
      <c r="FO2" s="4" t="s">
        <v>3191</v>
      </c>
      <c r="FP2" s="4" t="s">
        <v>3456</v>
      </c>
    </row>
    <row r="3" spans="1:172" ht="51" x14ac:dyDescent="0.2">
      <c r="A3" s="34" t="s">
        <v>922</v>
      </c>
      <c r="B3" s="7" t="s">
        <v>3719</v>
      </c>
      <c r="C3" s="7" t="s">
        <v>1934</v>
      </c>
      <c r="E3" s="7" t="s">
        <v>977</v>
      </c>
      <c r="G3" s="7">
        <v>0</v>
      </c>
      <c r="H3" s="7" t="s">
        <v>972</v>
      </c>
      <c r="I3" s="7" t="s">
        <v>1960</v>
      </c>
      <c r="J3" s="7" t="s">
        <v>972</v>
      </c>
      <c r="K3" s="7" t="s">
        <v>972</v>
      </c>
      <c r="L3" s="7">
        <v>5</v>
      </c>
      <c r="M3" s="7" t="s">
        <v>1935</v>
      </c>
      <c r="O3" s="7" t="s">
        <v>972</v>
      </c>
      <c r="P3" s="7" t="s">
        <v>1985</v>
      </c>
      <c r="Q3" s="7" t="s">
        <v>1935</v>
      </c>
      <c r="S3" s="7" t="s">
        <v>976</v>
      </c>
      <c r="U3" s="7" t="s">
        <v>976</v>
      </c>
      <c r="W3" s="7" t="s">
        <v>1937</v>
      </c>
      <c r="Y3" s="7" t="s">
        <v>977</v>
      </c>
      <c r="AA3" s="7">
        <v>130</v>
      </c>
      <c r="AB3" s="7">
        <v>26</v>
      </c>
      <c r="AC3" s="7" t="s">
        <v>1942</v>
      </c>
      <c r="AD3" s="7" t="s">
        <v>1986</v>
      </c>
      <c r="AE3" s="7" t="s">
        <v>977</v>
      </c>
      <c r="AG3" s="7">
        <v>130</v>
      </c>
      <c r="AH3" s="7">
        <v>26</v>
      </c>
      <c r="AI3" s="7" t="s">
        <v>1934</v>
      </c>
      <c r="AK3" s="7" t="s">
        <v>977</v>
      </c>
      <c r="AM3" s="7">
        <v>130</v>
      </c>
      <c r="AN3" s="7">
        <v>2</v>
      </c>
      <c r="AO3" s="7" t="s">
        <v>1942</v>
      </c>
      <c r="AP3" s="7" t="s">
        <v>1987</v>
      </c>
      <c r="AQ3" s="7" t="s">
        <v>977</v>
      </c>
      <c r="AS3" s="7">
        <v>130</v>
      </c>
      <c r="AT3" s="7">
        <v>39</v>
      </c>
      <c r="AU3" s="7" t="s">
        <v>1937</v>
      </c>
      <c r="AW3" s="7" t="s">
        <v>977</v>
      </c>
      <c r="BA3" s="7" t="s">
        <v>994</v>
      </c>
      <c r="BB3" s="7" t="s">
        <v>1987</v>
      </c>
      <c r="BC3" s="7" t="s">
        <v>977</v>
      </c>
      <c r="BE3" s="7">
        <v>130</v>
      </c>
      <c r="BF3" s="7">
        <v>52</v>
      </c>
      <c r="BR3" s="7" t="s">
        <v>994</v>
      </c>
      <c r="BS3" s="7" t="s">
        <v>1988</v>
      </c>
      <c r="BT3" s="7" t="s">
        <v>977</v>
      </c>
      <c r="BV3" s="7" t="s">
        <v>972</v>
      </c>
      <c r="BW3" s="7">
        <v>130</v>
      </c>
      <c r="BX3" s="7" t="s">
        <v>1989</v>
      </c>
      <c r="BY3" s="7" t="s">
        <v>976</v>
      </c>
      <c r="CJ3" s="7" t="s">
        <v>1934</v>
      </c>
      <c r="CL3" s="7" t="s">
        <v>977</v>
      </c>
      <c r="CN3" s="7" t="s">
        <v>976</v>
      </c>
      <c r="CO3" s="7">
        <v>0</v>
      </c>
      <c r="CP3" s="7" t="s">
        <v>3781</v>
      </c>
      <c r="CR3" s="7" t="s">
        <v>976</v>
      </c>
      <c r="CT3" s="7" t="s">
        <v>1948</v>
      </c>
      <c r="CU3" s="7" t="s">
        <v>1948</v>
      </c>
      <c r="CV3" s="7" t="s">
        <v>1948</v>
      </c>
      <c r="CW3" s="7" t="s">
        <v>1948</v>
      </c>
      <c r="CX3" s="7" t="s">
        <v>1948</v>
      </c>
      <c r="CY3" s="7" t="s">
        <v>1941</v>
      </c>
      <c r="CZ3" s="7" t="s">
        <v>1948</v>
      </c>
      <c r="DA3" s="7" t="s">
        <v>1941</v>
      </c>
      <c r="DB3" s="7" t="s">
        <v>1941</v>
      </c>
      <c r="DC3" s="7" t="s">
        <v>1941</v>
      </c>
      <c r="DD3" s="7" t="s">
        <v>1955</v>
      </c>
      <c r="DE3" s="7" t="s">
        <v>1941</v>
      </c>
      <c r="DF3" s="7" t="s">
        <v>1941</v>
      </c>
      <c r="DG3" s="7" t="s">
        <v>1941</v>
      </c>
      <c r="DH3" s="7" t="s">
        <v>1941</v>
      </c>
      <c r="DL3" s="7" t="s">
        <v>972</v>
      </c>
      <c r="DM3" s="7" t="s">
        <v>1963</v>
      </c>
      <c r="DZ3" s="7" t="s">
        <v>1934</v>
      </c>
      <c r="EB3" s="7" t="s">
        <v>977</v>
      </c>
      <c r="ED3" s="7" t="s">
        <v>972</v>
      </c>
      <c r="EE3" s="7">
        <v>0</v>
      </c>
      <c r="EF3" s="7">
        <v>10</v>
      </c>
      <c r="EG3" s="7" t="s">
        <v>994</v>
      </c>
      <c r="EH3" s="7" t="s">
        <v>1990</v>
      </c>
      <c r="EI3" s="7" t="s">
        <v>977</v>
      </c>
      <c r="EK3" s="7">
        <v>0</v>
      </c>
      <c r="EL3" s="7" t="s">
        <v>1979</v>
      </c>
      <c r="EN3" s="7">
        <v>0</v>
      </c>
      <c r="FO3" s="7" t="s">
        <v>976</v>
      </c>
    </row>
    <row r="4" spans="1:172" ht="38.25" x14ac:dyDescent="0.2">
      <c r="A4" s="34" t="s">
        <v>930</v>
      </c>
      <c r="B4" s="7" t="s">
        <v>3730</v>
      </c>
      <c r="W4" s="7" t="s">
        <v>1942</v>
      </c>
      <c r="X4" s="7" t="s">
        <v>2009</v>
      </c>
      <c r="Y4" s="7" t="s">
        <v>977</v>
      </c>
      <c r="AB4" s="7">
        <v>26</v>
      </c>
      <c r="AC4" s="7" t="s">
        <v>1942</v>
      </c>
      <c r="AD4" s="7" t="s">
        <v>2010</v>
      </c>
      <c r="AE4" s="7" t="s">
        <v>977</v>
      </c>
      <c r="AG4" s="7">
        <v>0</v>
      </c>
      <c r="AH4" s="7">
        <v>26</v>
      </c>
      <c r="AI4" s="7" t="s">
        <v>1934</v>
      </c>
      <c r="AK4" s="7" t="s">
        <v>977</v>
      </c>
      <c r="AM4" s="7">
        <v>0</v>
      </c>
      <c r="AN4" s="7">
        <v>2</v>
      </c>
      <c r="AO4" s="7" t="s">
        <v>1938</v>
      </c>
      <c r="AQ4" s="7" t="s">
        <v>977</v>
      </c>
      <c r="AS4" s="7">
        <v>0</v>
      </c>
      <c r="AT4" s="7">
        <v>50</v>
      </c>
      <c r="BA4" s="7" t="s">
        <v>1934</v>
      </c>
      <c r="BC4" s="7" t="s">
        <v>977</v>
      </c>
      <c r="BE4" s="7">
        <v>0</v>
      </c>
      <c r="BF4" s="7">
        <v>52</v>
      </c>
      <c r="BR4" s="7" t="s">
        <v>994</v>
      </c>
      <c r="BS4" s="7" t="s">
        <v>2011</v>
      </c>
      <c r="BT4" s="7" t="s">
        <v>977</v>
      </c>
      <c r="BV4" s="7" t="s">
        <v>972</v>
      </c>
      <c r="BW4" s="7">
        <v>180</v>
      </c>
      <c r="BX4" s="7">
        <v>8</v>
      </c>
      <c r="BY4" s="7" t="s">
        <v>976</v>
      </c>
      <c r="CJ4" s="7" t="s">
        <v>1934</v>
      </c>
      <c r="CL4" s="7" t="s">
        <v>977</v>
      </c>
      <c r="CN4" s="7" t="s">
        <v>976</v>
      </c>
      <c r="CO4" s="7">
        <v>0</v>
      </c>
      <c r="CP4" s="7" t="s">
        <v>2012</v>
      </c>
      <c r="DL4" s="7" t="s">
        <v>976</v>
      </c>
      <c r="DZ4" s="7" t="s">
        <v>1934</v>
      </c>
      <c r="EB4" s="7" t="s">
        <v>977</v>
      </c>
      <c r="ED4" s="7" t="s">
        <v>972</v>
      </c>
      <c r="EE4" s="7">
        <v>0</v>
      </c>
      <c r="EF4" s="7">
        <v>10</v>
      </c>
      <c r="FO4" s="7" t="s">
        <v>976</v>
      </c>
    </row>
    <row r="5" spans="1:172" ht="63.75" x14ac:dyDescent="0.2">
      <c r="A5" s="34" t="s">
        <v>927</v>
      </c>
      <c r="B5" s="7" t="s">
        <v>3707</v>
      </c>
      <c r="C5" s="7" t="s">
        <v>1934</v>
      </c>
      <c r="E5" s="7" t="s">
        <v>977</v>
      </c>
      <c r="G5" s="7">
        <v>0</v>
      </c>
      <c r="H5" s="7" t="s">
        <v>972</v>
      </c>
      <c r="I5" s="7">
        <v>5</v>
      </c>
      <c r="J5" s="7" t="s">
        <v>972</v>
      </c>
      <c r="K5" s="7" t="s">
        <v>972</v>
      </c>
      <c r="L5" s="7">
        <v>5</v>
      </c>
      <c r="M5" s="7" t="s">
        <v>1935</v>
      </c>
      <c r="O5" s="7" t="s">
        <v>972</v>
      </c>
      <c r="P5" s="7" t="s">
        <v>1950</v>
      </c>
      <c r="Q5" s="7" t="s">
        <v>1935</v>
      </c>
      <c r="S5" s="7" t="s">
        <v>972</v>
      </c>
      <c r="T5" s="7">
        <v>5</v>
      </c>
      <c r="U5" s="7" t="s">
        <v>976</v>
      </c>
      <c r="W5" s="7" t="s">
        <v>1942</v>
      </c>
      <c r="Y5" s="7" t="s">
        <v>977</v>
      </c>
      <c r="AA5" s="7">
        <v>0</v>
      </c>
      <c r="AB5" s="7">
        <v>52</v>
      </c>
      <c r="AI5" s="7" t="s">
        <v>1934</v>
      </c>
      <c r="AK5" s="7" t="s">
        <v>977</v>
      </c>
      <c r="AM5" s="7">
        <v>0</v>
      </c>
      <c r="AN5" s="7">
        <v>2</v>
      </c>
      <c r="AU5" s="7" t="s">
        <v>1938</v>
      </c>
      <c r="AW5" s="7" t="s">
        <v>977</v>
      </c>
      <c r="AY5" s="7">
        <v>365</v>
      </c>
      <c r="AZ5" s="7">
        <v>18</v>
      </c>
      <c r="BA5" s="7" t="s">
        <v>1934</v>
      </c>
      <c r="BC5" s="7" t="s">
        <v>977</v>
      </c>
      <c r="BE5" s="7">
        <v>0</v>
      </c>
      <c r="BF5" s="7">
        <v>52</v>
      </c>
      <c r="BG5" s="7" t="s">
        <v>1934</v>
      </c>
      <c r="BI5" s="7" t="s">
        <v>977</v>
      </c>
      <c r="BK5" s="7" t="s">
        <v>2003</v>
      </c>
      <c r="BM5" s="7">
        <v>0</v>
      </c>
      <c r="BO5" s="7" t="s">
        <v>976</v>
      </c>
      <c r="BP5" s="7" t="s">
        <v>972</v>
      </c>
      <c r="BQ5" s="7" t="s">
        <v>2004</v>
      </c>
      <c r="BR5" s="7" t="s">
        <v>1934</v>
      </c>
      <c r="BT5" s="7" t="s">
        <v>977</v>
      </c>
      <c r="BV5" s="7" t="s">
        <v>972</v>
      </c>
      <c r="BW5" s="7">
        <v>0</v>
      </c>
      <c r="BX5" s="7" t="s">
        <v>2005</v>
      </c>
      <c r="BY5" s="7" t="s">
        <v>976</v>
      </c>
      <c r="CJ5" s="7" t="s">
        <v>1934</v>
      </c>
      <c r="CL5" s="7" t="s">
        <v>977</v>
      </c>
      <c r="CN5" s="7" t="s">
        <v>976</v>
      </c>
      <c r="CO5" s="7">
        <v>0</v>
      </c>
      <c r="CP5" s="7" t="s">
        <v>3784</v>
      </c>
      <c r="CR5" s="7" t="s">
        <v>972</v>
      </c>
      <c r="DL5" s="7" t="s">
        <v>976</v>
      </c>
      <c r="DZ5" s="7" t="s">
        <v>1934</v>
      </c>
      <c r="EB5" s="7" t="s">
        <v>977</v>
      </c>
      <c r="ED5" s="7" t="s">
        <v>972</v>
      </c>
      <c r="EE5" s="7">
        <v>0</v>
      </c>
      <c r="EO5" s="7" t="s">
        <v>1934</v>
      </c>
      <c r="EQ5" s="7" t="s">
        <v>977</v>
      </c>
      <c r="ES5" s="7">
        <v>0</v>
      </c>
      <c r="ET5" s="7">
        <v>5</v>
      </c>
    </row>
    <row r="6" spans="1:172" ht="25.5" x14ac:dyDescent="0.2">
      <c r="A6" s="34" t="s">
        <v>914</v>
      </c>
      <c r="B6" s="7" t="s">
        <v>1946</v>
      </c>
      <c r="W6" s="7" t="s">
        <v>1937</v>
      </c>
      <c r="Y6" s="7" t="s">
        <v>977</v>
      </c>
      <c r="AA6" s="7">
        <v>0</v>
      </c>
      <c r="AB6" s="7">
        <v>52</v>
      </c>
      <c r="BR6" s="7" t="s">
        <v>1934</v>
      </c>
      <c r="BT6" s="7" t="s">
        <v>977</v>
      </c>
      <c r="BV6" s="7" t="s">
        <v>972</v>
      </c>
      <c r="BW6" s="7">
        <v>0</v>
      </c>
      <c r="BX6" s="7" t="s">
        <v>1947</v>
      </c>
      <c r="BY6" s="7" t="s">
        <v>976</v>
      </c>
      <c r="CJ6" s="7" t="s">
        <v>1934</v>
      </c>
      <c r="CL6" s="7" t="s">
        <v>977</v>
      </c>
      <c r="CN6" s="7" t="s">
        <v>976</v>
      </c>
      <c r="CO6" s="7">
        <v>0</v>
      </c>
      <c r="CP6" s="7" t="s">
        <v>3789</v>
      </c>
      <c r="CR6" s="7" t="s">
        <v>972</v>
      </c>
      <c r="CS6" s="7" t="s">
        <v>1948</v>
      </c>
      <c r="DL6" s="7" t="s">
        <v>976</v>
      </c>
      <c r="FO6" s="7" t="s">
        <v>976</v>
      </c>
    </row>
    <row r="7" spans="1:172" ht="51" x14ac:dyDescent="0.2">
      <c r="A7" s="34" t="s">
        <v>920</v>
      </c>
      <c r="B7" s="7" t="s">
        <v>3735</v>
      </c>
      <c r="C7" s="7" t="s">
        <v>1934</v>
      </c>
      <c r="E7" s="7" t="s">
        <v>977</v>
      </c>
      <c r="G7" s="7">
        <v>0</v>
      </c>
      <c r="H7" s="7" t="s">
        <v>972</v>
      </c>
      <c r="I7" s="7" t="s">
        <v>1981</v>
      </c>
      <c r="J7" s="7" t="s">
        <v>976</v>
      </c>
      <c r="S7" s="7" t="s">
        <v>976</v>
      </c>
      <c r="U7" s="7" t="s">
        <v>976</v>
      </c>
      <c r="W7" s="7" t="s">
        <v>1942</v>
      </c>
      <c r="X7" s="7" t="s">
        <v>1982</v>
      </c>
      <c r="Y7" s="7" t="s">
        <v>977</v>
      </c>
      <c r="AA7" s="7">
        <v>0</v>
      </c>
      <c r="AB7" s="7">
        <v>26</v>
      </c>
      <c r="AC7" s="7" t="s">
        <v>1938</v>
      </c>
      <c r="AE7" s="7" t="s">
        <v>977</v>
      </c>
      <c r="AG7" s="7">
        <v>0</v>
      </c>
      <c r="AH7" s="7">
        <v>26</v>
      </c>
      <c r="AI7" s="7" t="s">
        <v>994</v>
      </c>
      <c r="AJ7" s="7" t="s">
        <v>1983</v>
      </c>
      <c r="AK7" s="7" t="s">
        <v>977</v>
      </c>
      <c r="AM7" s="7">
        <v>0</v>
      </c>
      <c r="AN7" s="7">
        <v>16</v>
      </c>
      <c r="AO7" s="7" t="s">
        <v>1938</v>
      </c>
      <c r="AQ7" s="7" t="s">
        <v>977</v>
      </c>
      <c r="AS7" s="7">
        <v>0</v>
      </c>
      <c r="AU7" s="7" t="s">
        <v>1938</v>
      </c>
      <c r="AW7" s="7" t="s">
        <v>977</v>
      </c>
      <c r="AY7" s="7">
        <v>0</v>
      </c>
      <c r="BA7" s="7" t="s">
        <v>1934</v>
      </c>
      <c r="BC7" s="7" t="s">
        <v>977</v>
      </c>
      <c r="BE7" s="7">
        <v>0</v>
      </c>
      <c r="BF7" s="7">
        <v>26</v>
      </c>
      <c r="BG7" s="7" t="s">
        <v>1934</v>
      </c>
      <c r="BI7" s="7" t="s">
        <v>977</v>
      </c>
      <c r="BK7" s="7" t="s">
        <v>3762</v>
      </c>
      <c r="BM7" s="7">
        <v>0</v>
      </c>
      <c r="BN7" s="7">
        <v>4</v>
      </c>
      <c r="BO7" s="7" t="s">
        <v>976</v>
      </c>
      <c r="BP7" s="7" t="s">
        <v>976</v>
      </c>
      <c r="BR7" s="7" t="s">
        <v>1934</v>
      </c>
      <c r="BT7" s="7" t="s">
        <v>977</v>
      </c>
      <c r="BV7" s="7" t="s">
        <v>976</v>
      </c>
      <c r="BW7" s="7">
        <v>0</v>
      </c>
      <c r="BX7" s="7" t="s">
        <v>1959</v>
      </c>
      <c r="BY7" s="7" t="s">
        <v>976</v>
      </c>
      <c r="CJ7" s="7" t="s">
        <v>1934</v>
      </c>
      <c r="CL7" s="7" t="s">
        <v>977</v>
      </c>
      <c r="CN7" s="7" t="s">
        <v>976</v>
      </c>
      <c r="CO7" s="7">
        <v>0</v>
      </c>
      <c r="CP7" s="7" t="s">
        <v>3754</v>
      </c>
      <c r="CR7" s="7" t="s">
        <v>972</v>
      </c>
      <c r="CS7" s="7" t="s">
        <v>1959</v>
      </c>
      <c r="DL7" s="7" t="s">
        <v>976</v>
      </c>
      <c r="DZ7" s="7" t="s">
        <v>1934</v>
      </c>
      <c r="EB7" s="7" t="s">
        <v>977</v>
      </c>
      <c r="ED7" s="7" t="s">
        <v>976</v>
      </c>
      <c r="EE7" s="7">
        <v>0</v>
      </c>
      <c r="EF7" s="7">
        <v>10</v>
      </c>
      <c r="FC7" s="7" t="s">
        <v>977</v>
      </c>
      <c r="FE7" s="7">
        <v>0</v>
      </c>
      <c r="FN7" s="7" t="s">
        <v>1984</v>
      </c>
      <c r="FO7" s="7" t="s">
        <v>976</v>
      </c>
    </row>
    <row r="8" spans="1:172" ht="63.75" x14ac:dyDescent="0.2">
      <c r="A8" s="34" t="s">
        <v>959</v>
      </c>
      <c r="B8" s="7" t="s">
        <v>3709</v>
      </c>
      <c r="C8" s="7" t="s">
        <v>1934</v>
      </c>
      <c r="E8" s="7" t="s">
        <v>977</v>
      </c>
      <c r="G8" s="7">
        <v>0</v>
      </c>
      <c r="H8" s="7" t="s">
        <v>976</v>
      </c>
      <c r="I8" s="7" t="s">
        <v>2119</v>
      </c>
      <c r="J8" s="7" t="s">
        <v>972</v>
      </c>
      <c r="K8" s="7" t="s">
        <v>976</v>
      </c>
      <c r="O8" s="7" t="s">
        <v>972</v>
      </c>
      <c r="P8" s="7" t="s">
        <v>2120</v>
      </c>
      <c r="Q8" s="7" t="s">
        <v>1935</v>
      </c>
      <c r="S8" s="7" t="s">
        <v>976</v>
      </c>
      <c r="U8" s="7" t="s">
        <v>976</v>
      </c>
      <c r="W8" s="7" t="s">
        <v>1937</v>
      </c>
      <c r="Y8" s="7" t="s">
        <v>977</v>
      </c>
      <c r="AA8" s="7">
        <v>182</v>
      </c>
      <c r="AB8" s="7">
        <v>52</v>
      </c>
      <c r="AC8" s="7" t="s">
        <v>1942</v>
      </c>
      <c r="AE8" s="7" t="s">
        <v>977</v>
      </c>
      <c r="AG8" s="7">
        <v>182</v>
      </c>
      <c r="AI8" s="7" t="s">
        <v>1934</v>
      </c>
      <c r="AK8" s="7" t="s">
        <v>977</v>
      </c>
      <c r="AM8" s="7">
        <v>182</v>
      </c>
      <c r="AN8" s="7">
        <v>6</v>
      </c>
      <c r="AO8" s="7" t="s">
        <v>1938</v>
      </c>
      <c r="AQ8" s="7" t="s">
        <v>977</v>
      </c>
      <c r="AS8" s="7">
        <v>182</v>
      </c>
      <c r="AU8" s="7" t="s">
        <v>1938</v>
      </c>
      <c r="AW8" s="7" t="s">
        <v>977</v>
      </c>
      <c r="AY8" s="7">
        <v>182</v>
      </c>
      <c r="AZ8" s="7">
        <v>52</v>
      </c>
      <c r="BA8" s="7" t="s">
        <v>1934</v>
      </c>
      <c r="BC8" s="7" t="s">
        <v>977</v>
      </c>
      <c r="BE8" s="7">
        <v>182</v>
      </c>
      <c r="BF8" s="7">
        <v>52</v>
      </c>
      <c r="BG8" s="7" t="s">
        <v>1934</v>
      </c>
      <c r="BI8" s="7" t="s">
        <v>977</v>
      </c>
      <c r="BK8" s="7" t="s">
        <v>3760</v>
      </c>
      <c r="BM8" s="7">
        <v>0</v>
      </c>
      <c r="BN8" s="7">
        <v>1</v>
      </c>
      <c r="BO8" s="7" t="s">
        <v>972</v>
      </c>
      <c r="BP8" s="7" t="s">
        <v>976</v>
      </c>
      <c r="BR8" s="7" t="s">
        <v>1934</v>
      </c>
      <c r="BT8" s="7" t="s">
        <v>977</v>
      </c>
      <c r="BV8" s="7" t="s">
        <v>972</v>
      </c>
      <c r="BW8" s="7">
        <v>0</v>
      </c>
      <c r="BX8" s="7">
        <v>5</v>
      </c>
      <c r="BY8" s="7" t="s">
        <v>976</v>
      </c>
      <c r="CJ8" s="7" t="s">
        <v>1934</v>
      </c>
      <c r="CL8" s="7" t="s">
        <v>977</v>
      </c>
      <c r="CN8" s="7" t="s">
        <v>976</v>
      </c>
      <c r="CO8" s="7">
        <v>0</v>
      </c>
      <c r="CP8" s="7" t="s">
        <v>3784</v>
      </c>
      <c r="CR8" s="7" t="s">
        <v>976</v>
      </c>
      <c r="CT8" s="7" t="s">
        <v>1954</v>
      </c>
      <c r="CU8" s="7" t="s">
        <v>1954</v>
      </c>
      <c r="CV8" s="7" t="s">
        <v>1954</v>
      </c>
      <c r="CW8" s="7" t="s">
        <v>1954</v>
      </c>
      <c r="CX8" s="7" t="s">
        <v>1954</v>
      </c>
      <c r="CZ8" s="7" t="s">
        <v>1955</v>
      </c>
      <c r="DA8" s="7" t="s">
        <v>1955</v>
      </c>
      <c r="DB8" s="7" t="s">
        <v>1955</v>
      </c>
      <c r="DC8" s="7" t="s">
        <v>1955</v>
      </c>
      <c r="DD8" s="7" t="s">
        <v>1955</v>
      </c>
      <c r="DE8" s="7" t="s">
        <v>1941</v>
      </c>
      <c r="DF8" s="7" t="s">
        <v>1941</v>
      </c>
      <c r="DG8" s="7" t="s">
        <v>1941</v>
      </c>
      <c r="DH8" s="7" t="s">
        <v>1941</v>
      </c>
      <c r="DI8" s="7" t="s">
        <v>1941</v>
      </c>
      <c r="DL8" s="7" t="s">
        <v>972</v>
      </c>
      <c r="DM8" s="7" t="s">
        <v>1963</v>
      </c>
      <c r="DT8" s="7" t="s">
        <v>1939</v>
      </c>
      <c r="DV8" s="7" t="s">
        <v>977</v>
      </c>
      <c r="DX8" s="7">
        <v>0</v>
      </c>
      <c r="DZ8" s="7" t="s">
        <v>1939</v>
      </c>
      <c r="EB8" s="7" t="s">
        <v>977</v>
      </c>
      <c r="ED8" s="7" t="s">
        <v>972</v>
      </c>
      <c r="EE8" s="7">
        <v>0</v>
      </c>
      <c r="EG8" s="7" t="s">
        <v>1939</v>
      </c>
      <c r="EI8" s="7" t="s">
        <v>977</v>
      </c>
      <c r="EK8" s="7">
        <v>0</v>
      </c>
      <c r="EL8" s="7" t="s">
        <v>1964</v>
      </c>
      <c r="EN8" s="7">
        <v>1</v>
      </c>
      <c r="EO8" s="7" t="s">
        <v>1934</v>
      </c>
      <c r="EQ8" s="7" t="s">
        <v>977</v>
      </c>
      <c r="ES8" s="7">
        <v>0</v>
      </c>
      <c r="ET8" s="7">
        <v>5</v>
      </c>
      <c r="EU8" s="7" t="s">
        <v>1934</v>
      </c>
      <c r="EW8" s="7" t="s">
        <v>977</v>
      </c>
      <c r="EY8" s="7" t="s">
        <v>1339</v>
      </c>
      <c r="EZ8" s="7" t="s">
        <v>2088</v>
      </c>
      <c r="FA8" s="7" t="s">
        <v>2044</v>
      </c>
      <c r="FC8" s="7" t="s">
        <v>977</v>
      </c>
      <c r="FE8" s="7">
        <v>0</v>
      </c>
      <c r="FO8" s="7" t="s">
        <v>976</v>
      </c>
    </row>
    <row r="9" spans="1:172" ht="51" x14ac:dyDescent="0.2">
      <c r="A9" s="34" t="s">
        <v>933</v>
      </c>
      <c r="B9" s="7" t="s">
        <v>3739</v>
      </c>
      <c r="C9" s="7" t="s">
        <v>1934</v>
      </c>
      <c r="E9" s="7" t="s">
        <v>977</v>
      </c>
      <c r="G9" s="7">
        <v>0</v>
      </c>
      <c r="H9" s="7" t="s">
        <v>972</v>
      </c>
      <c r="I9" s="7">
        <v>5</v>
      </c>
      <c r="J9" s="7" t="s">
        <v>972</v>
      </c>
      <c r="K9" s="7" t="s">
        <v>972</v>
      </c>
      <c r="L9" s="7">
        <v>5</v>
      </c>
      <c r="M9" s="7" t="s">
        <v>1935</v>
      </c>
      <c r="O9" s="7" t="s">
        <v>972</v>
      </c>
      <c r="P9" s="7">
        <v>90</v>
      </c>
      <c r="Q9" s="7" t="s">
        <v>1935</v>
      </c>
      <c r="S9" s="7" t="s">
        <v>972</v>
      </c>
      <c r="T9" s="7">
        <v>5</v>
      </c>
      <c r="U9" s="7" t="s">
        <v>972</v>
      </c>
      <c r="V9" s="7">
        <v>5</v>
      </c>
      <c r="W9" s="7" t="s">
        <v>1942</v>
      </c>
      <c r="X9" s="7" t="s">
        <v>2024</v>
      </c>
      <c r="Y9" s="7" t="s">
        <v>977</v>
      </c>
      <c r="AA9" s="7">
        <v>182</v>
      </c>
      <c r="AB9" s="7">
        <v>39</v>
      </c>
      <c r="AC9" s="7" t="s">
        <v>1938</v>
      </c>
      <c r="AE9" s="7" t="s">
        <v>977</v>
      </c>
      <c r="AG9" s="7">
        <v>182</v>
      </c>
      <c r="AH9" s="7">
        <v>13</v>
      </c>
      <c r="AO9" s="7" t="s">
        <v>1938</v>
      </c>
      <c r="AQ9" s="7" t="s">
        <v>977</v>
      </c>
      <c r="AS9" s="7">
        <v>182</v>
      </c>
      <c r="AT9" s="7">
        <v>52</v>
      </c>
      <c r="AU9" s="7" t="s">
        <v>1938</v>
      </c>
      <c r="AW9" s="7" t="s">
        <v>977</v>
      </c>
      <c r="AY9" s="7">
        <v>182</v>
      </c>
      <c r="AZ9" s="7">
        <v>18</v>
      </c>
      <c r="BA9" s="7" t="s">
        <v>994</v>
      </c>
      <c r="BB9" s="7" t="s">
        <v>2025</v>
      </c>
      <c r="BC9" s="7" t="s">
        <v>977</v>
      </c>
      <c r="BE9" s="7">
        <v>182</v>
      </c>
      <c r="BF9" s="7">
        <v>39</v>
      </c>
      <c r="BG9" s="7" t="s">
        <v>1934</v>
      </c>
      <c r="BI9" s="7" t="s">
        <v>977</v>
      </c>
      <c r="BK9" s="7" t="s">
        <v>2026</v>
      </c>
      <c r="BM9" s="7">
        <v>0</v>
      </c>
      <c r="BN9" s="7">
        <v>1</v>
      </c>
      <c r="BO9" s="7" t="s">
        <v>976</v>
      </c>
      <c r="BP9" s="7" t="s">
        <v>976</v>
      </c>
      <c r="BR9" s="7" t="s">
        <v>1934</v>
      </c>
      <c r="BT9" s="7" t="s">
        <v>977</v>
      </c>
      <c r="BV9" s="7" t="s">
        <v>976</v>
      </c>
      <c r="BW9" s="7">
        <v>0</v>
      </c>
      <c r="BX9" s="7">
        <v>5</v>
      </c>
      <c r="BY9" s="7" t="s">
        <v>976</v>
      </c>
      <c r="CJ9" s="7" t="s">
        <v>1934</v>
      </c>
      <c r="CL9" s="7" t="s">
        <v>977</v>
      </c>
      <c r="CN9" s="7" t="s">
        <v>976</v>
      </c>
      <c r="CO9" s="7">
        <v>0</v>
      </c>
      <c r="CP9" s="7" t="s">
        <v>3795</v>
      </c>
      <c r="CR9" s="7" t="s">
        <v>972</v>
      </c>
      <c r="CS9" s="7" t="s">
        <v>1948</v>
      </c>
      <c r="DL9" s="7" t="s">
        <v>976</v>
      </c>
      <c r="DT9" s="7" t="s">
        <v>1934</v>
      </c>
      <c r="DV9" s="7" t="s">
        <v>977</v>
      </c>
      <c r="DX9" s="7">
        <v>0</v>
      </c>
      <c r="DY9" s="7">
        <v>1</v>
      </c>
      <c r="DZ9" s="7" t="s">
        <v>1934</v>
      </c>
      <c r="EB9" s="7" t="s">
        <v>977</v>
      </c>
      <c r="ED9" s="7" t="s">
        <v>972</v>
      </c>
      <c r="EE9" s="7">
        <v>0</v>
      </c>
      <c r="FC9" s="7" t="s">
        <v>977</v>
      </c>
      <c r="FE9" s="7">
        <v>182</v>
      </c>
      <c r="FF9" s="7">
        <v>2</v>
      </c>
      <c r="FO9" s="7" t="s">
        <v>976</v>
      </c>
    </row>
    <row r="10" spans="1:172" ht="25.5" x14ac:dyDescent="0.2">
      <c r="A10" s="34" t="s">
        <v>912</v>
      </c>
      <c r="B10" s="7" t="s">
        <v>3729</v>
      </c>
      <c r="W10" s="7" t="s">
        <v>1942</v>
      </c>
      <c r="Y10" s="7" t="s">
        <v>977</v>
      </c>
      <c r="AC10" s="7" t="s">
        <v>1942</v>
      </c>
      <c r="AD10" s="7" t="s">
        <v>1943</v>
      </c>
      <c r="AE10" s="7" t="s">
        <v>977</v>
      </c>
      <c r="AG10" s="7">
        <v>0</v>
      </c>
      <c r="AI10" s="7" t="s">
        <v>1934</v>
      </c>
      <c r="AK10" s="7" t="s">
        <v>977</v>
      </c>
      <c r="AM10" s="7">
        <v>0</v>
      </c>
      <c r="AN10" s="7">
        <v>10</v>
      </c>
      <c r="AO10" s="7" t="s">
        <v>1937</v>
      </c>
      <c r="AQ10" s="7" t="s">
        <v>977</v>
      </c>
      <c r="AS10" s="7">
        <v>0</v>
      </c>
      <c r="AT10" s="7">
        <v>10</v>
      </c>
      <c r="AU10" s="7" t="s">
        <v>1937</v>
      </c>
      <c r="AW10" s="7" t="s">
        <v>977</v>
      </c>
      <c r="AY10" s="7">
        <v>0</v>
      </c>
      <c r="AZ10" s="7">
        <v>10</v>
      </c>
      <c r="BA10" s="7" t="s">
        <v>1934</v>
      </c>
      <c r="BC10" s="7" t="s">
        <v>977</v>
      </c>
      <c r="BE10" s="7">
        <v>0</v>
      </c>
      <c r="BF10" s="7">
        <v>10</v>
      </c>
      <c r="FO10" s="7" t="s">
        <v>976</v>
      </c>
    </row>
    <row r="11" spans="1:172" ht="76.5" x14ac:dyDescent="0.2">
      <c r="A11" s="34" t="s">
        <v>936</v>
      </c>
      <c r="B11" s="7" t="s">
        <v>3737</v>
      </c>
      <c r="W11" s="7" t="s">
        <v>1942</v>
      </c>
      <c r="X11" s="7" t="s">
        <v>3745</v>
      </c>
      <c r="Y11" s="7" t="s">
        <v>977</v>
      </c>
      <c r="AA11" s="7">
        <v>182</v>
      </c>
      <c r="AB11" s="7">
        <v>52</v>
      </c>
      <c r="AC11" s="7" t="s">
        <v>1942</v>
      </c>
      <c r="AD11" s="7" t="s">
        <v>2037</v>
      </c>
      <c r="AE11" s="7" t="s">
        <v>977</v>
      </c>
      <c r="AG11" s="7">
        <v>182</v>
      </c>
      <c r="AH11" s="7">
        <v>26</v>
      </c>
      <c r="AU11" s="7" t="s">
        <v>1938</v>
      </c>
      <c r="AW11" s="7" t="s">
        <v>977</v>
      </c>
      <c r="AY11" s="7">
        <v>0</v>
      </c>
      <c r="AZ11" s="7">
        <v>18</v>
      </c>
      <c r="BA11" s="7" t="s">
        <v>1934</v>
      </c>
      <c r="BC11" s="7" t="s">
        <v>977</v>
      </c>
      <c r="BE11" s="7">
        <v>182</v>
      </c>
      <c r="BF11" s="7">
        <v>52</v>
      </c>
      <c r="BG11" s="7" t="s">
        <v>1939</v>
      </c>
      <c r="BI11" s="7" t="s">
        <v>977</v>
      </c>
      <c r="BK11" s="7" t="s">
        <v>2038</v>
      </c>
      <c r="BM11" s="7">
        <v>0</v>
      </c>
      <c r="BN11" s="7">
        <v>1</v>
      </c>
      <c r="BO11" s="7" t="s">
        <v>976</v>
      </c>
      <c r="BP11" s="7" t="s">
        <v>972</v>
      </c>
      <c r="BQ11" s="7" t="s">
        <v>2039</v>
      </c>
      <c r="BR11" s="7" t="s">
        <v>1934</v>
      </c>
      <c r="BT11" s="7" t="s">
        <v>977</v>
      </c>
      <c r="BV11" s="7" t="s">
        <v>972</v>
      </c>
      <c r="BW11" s="7">
        <v>90</v>
      </c>
      <c r="BX11" s="7" t="s">
        <v>1957</v>
      </c>
      <c r="BY11" s="7" t="s">
        <v>976</v>
      </c>
      <c r="CD11" s="7" t="s">
        <v>1934</v>
      </c>
      <c r="CF11" s="7" t="s">
        <v>977</v>
      </c>
      <c r="CH11" s="7">
        <v>0</v>
      </c>
      <c r="CJ11" s="7" t="s">
        <v>1934</v>
      </c>
      <c r="CL11" s="7" t="s">
        <v>977</v>
      </c>
      <c r="CN11" s="7" t="s">
        <v>976</v>
      </c>
      <c r="CO11" s="7">
        <v>0</v>
      </c>
      <c r="CP11" s="7" t="s">
        <v>3794</v>
      </c>
      <c r="CR11" s="7" t="s">
        <v>976</v>
      </c>
      <c r="CT11" s="7" t="s">
        <v>1959</v>
      </c>
      <c r="CU11" s="7" t="s">
        <v>1959</v>
      </c>
      <c r="CV11" s="7" t="s">
        <v>1959</v>
      </c>
      <c r="CW11" s="7" t="s">
        <v>1959</v>
      </c>
      <c r="CZ11" s="7" t="s">
        <v>1959</v>
      </c>
      <c r="DA11" s="7" t="s">
        <v>1959</v>
      </c>
      <c r="DD11" s="7" t="s">
        <v>1959</v>
      </c>
      <c r="DE11" s="7" t="s">
        <v>1959</v>
      </c>
      <c r="DL11" s="7" t="s">
        <v>976</v>
      </c>
      <c r="EO11" s="7" t="s">
        <v>1934</v>
      </c>
      <c r="EQ11" s="7" t="s">
        <v>977</v>
      </c>
      <c r="ES11" s="7">
        <v>0</v>
      </c>
      <c r="ET11" s="7">
        <v>5</v>
      </c>
      <c r="FN11" s="7" t="s">
        <v>2040</v>
      </c>
      <c r="FO11" s="7" t="s">
        <v>976</v>
      </c>
    </row>
    <row r="12" spans="1:172" ht="51" x14ac:dyDescent="0.2">
      <c r="A12" s="34" t="s">
        <v>911</v>
      </c>
      <c r="B12" s="7" t="s">
        <v>3734</v>
      </c>
      <c r="C12" s="7" t="s">
        <v>1934</v>
      </c>
      <c r="E12" s="7" t="s">
        <v>977</v>
      </c>
      <c r="G12" s="7">
        <v>0</v>
      </c>
      <c r="H12" s="7" t="s">
        <v>972</v>
      </c>
      <c r="I12" s="7">
        <v>3.57</v>
      </c>
      <c r="J12" s="7" t="s">
        <v>972</v>
      </c>
      <c r="K12" s="7" t="s">
        <v>972</v>
      </c>
      <c r="L12" s="7">
        <v>5</v>
      </c>
      <c r="M12" s="7" t="s">
        <v>1935</v>
      </c>
      <c r="O12" s="7" t="s">
        <v>972</v>
      </c>
      <c r="P12" s="7" t="s">
        <v>1936</v>
      </c>
      <c r="Q12" s="7" t="s">
        <v>1935</v>
      </c>
      <c r="S12" s="7" t="s">
        <v>972</v>
      </c>
      <c r="T12" s="7">
        <v>5</v>
      </c>
      <c r="U12" s="7" t="s">
        <v>972</v>
      </c>
      <c r="V12" s="7">
        <v>5</v>
      </c>
      <c r="W12" s="7" t="s">
        <v>1937</v>
      </c>
      <c r="Y12" s="7" t="s">
        <v>977</v>
      </c>
      <c r="AA12" s="7">
        <v>182</v>
      </c>
      <c r="AB12" s="7">
        <v>52</v>
      </c>
      <c r="AC12" s="7" t="s">
        <v>1937</v>
      </c>
      <c r="AE12" s="7" t="s">
        <v>977</v>
      </c>
      <c r="AG12" s="7">
        <v>365</v>
      </c>
      <c r="AH12" s="7">
        <v>18</v>
      </c>
      <c r="AI12" s="7" t="s">
        <v>1934</v>
      </c>
      <c r="AK12" s="7" t="s">
        <v>977</v>
      </c>
      <c r="AM12" s="7">
        <v>182</v>
      </c>
      <c r="AN12" s="7">
        <v>2</v>
      </c>
      <c r="AO12" s="7" t="s">
        <v>1937</v>
      </c>
      <c r="AQ12" s="7" t="s">
        <v>977</v>
      </c>
      <c r="AS12" s="7">
        <v>182</v>
      </c>
      <c r="AT12" s="7">
        <v>37</v>
      </c>
      <c r="AU12" s="7" t="s">
        <v>1938</v>
      </c>
      <c r="AW12" s="7" t="s">
        <v>977</v>
      </c>
      <c r="AY12" s="7">
        <v>365</v>
      </c>
      <c r="AZ12" s="7">
        <v>18</v>
      </c>
      <c r="BA12" s="7" t="s">
        <v>1934</v>
      </c>
      <c r="BC12" s="7" t="s">
        <v>977</v>
      </c>
      <c r="BE12" s="7">
        <v>365</v>
      </c>
      <c r="BF12" s="7">
        <v>52</v>
      </c>
      <c r="BG12" s="7" t="s">
        <v>1939</v>
      </c>
      <c r="BI12" s="7" t="s">
        <v>977</v>
      </c>
      <c r="BK12" s="7" t="s">
        <v>3759</v>
      </c>
      <c r="BM12" s="7">
        <v>0</v>
      </c>
      <c r="BO12" s="7" t="s">
        <v>976</v>
      </c>
      <c r="BP12" s="7" t="s">
        <v>976</v>
      </c>
      <c r="BR12" s="7" t="s">
        <v>1934</v>
      </c>
      <c r="BT12" s="7" t="s">
        <v>977</v>
      </c>
      <c r="BV12" s="7" t="s">
        <v>976</v>
      </c>
      <c r="BW12" s="7">
        <v>90</v>
      </c>
      <c r="BX12" s="7">
        <v>21</v>
      </c>
      <c r="BY12" s="7" t="s">
        <v>976</v>
      </c>
      <c r="CJ12" s="7" t="s">
        <v>1934</v>
      </c>
      <c r="CL12" s="7" t="s">
        <v>977</v>
      </c>
      <c r="CN12" s="7" t="s">
        <v>976</v>
      </c>
      <c r="CO12" s="7">
        <v>0</v>
      </c>
      <c r="CP12" s="7" t="s">
        <v>3759</v>
      </c>
      <c r="CR12" s="7" t="s">
        <v>972</v>
      </c>
      <c r="CS12" s="7" t="s">
        <v>1940</v>
      </c>
      <c r="DL12" s="7" t="s">
        <v>972</v>
      </c>
      <c r="DM12" s="7" t="s">
        <v>1941</v>
      </c>
      <c r="DZ12" s="7" t="s">
        <v>1934</v>
      </c>
      <c r="EB12" s="7" t="s">
        <v>977</v>
      </c>
      <c r="ED12" s="7" t="s">
        <v>976</v>
      </c>
      <c r="EE12" s="7">
        <v>0</v>
      </c>
      <c r="FO12" s="7" t="s">
        <v>976</v>
      </c>
    </row>
    <row r="13" spans="1:172" ht="51" x14ac:dyDescent="0.2">
      <c r="A13" s="34" t="s">
        <v>928</v>
      </c>
      <c r="B13" s="7" t="s">
        <v>3883</v>
      </c>
      <c r="C13" s="7" t="s">
        <v>1934</v>
      </c>
      <c r="E13" s="7" t="s">
        <v>977</v>
      </c>
      <c r="H13" s="7" t="s">
        <v>972</v>
      </c>
      <c r="J13" s="7" t="s">
        <v>976</v>
      </c>
      <c r="S13" s="7" t="s">
        <v>972</v>
      </c>
      <c r="U13" s="7" t="s">
        <v>976</v>
      </c>
      <c r="W13" s="7" t="s">
        <v>1937</v>
      </c>
      <c r="Y13" s="7" t="s">
        <v>977</v>
      </c>
      <c r="AA13" s="7">
        <v>130</v>
      </c>
      <c r="AB13" s="7">
        <v>24</v>
      </c>
      <c r="AC13" s="7" t="s">
        <v>1942</v>
      </c>
      <c r="AE13" s="7" t="s">
        <v>977</v>
      </c>
      <c r="AG13" s="7">
        <v>130</v>
      </c>
      <c r="AH13" s="7">
        <v>26</v>
      </c>
      <c r="AI13" s="7" t="s">
        <v>1934</v>
      </c>
      <c r="AK13" s="7" t="s">
        <v>977</v>
      </c>
      <c r="AN13" s="7">
        <v>2</v>
      </c>
      <c r="AO13" s="7" t="s">
        <v>1942</v>
      </c>
      <c r="AQ13" s="7" t="s">
        <v>977</v>
      </c>
      <c r="AS13" s="7">
        <v>130</v>
      </c>
      <c r="AU13" s="7" t="s">
        <v>1938</v>
      </c>
      <c r="AW13" s="7" t="s">
        <v>977</v>
      </c>
      <c r="AY13" s="7">
        <v>130</v>
      </c>
      <c r="BA13" s="7" t="s">
        <v>1934</v>
      </c>
      <c r="BC13" s="7" t="s">
        <v>977</v>
      </c>
      <c r="BE13" s="7">
        <v>130</v>
      </c>
      <c r="BR13" s="7" t="s">
        <v>1934</v>
      </c>
      <c r="BT13" s="7" t="s">
        <v>977</v>
      </c>
      <c r="BV13" s="7" t="s">
        <v>972</v>
      </c>
      <c r="BX13" s="7">
        <v>26</v>
      </c>
      <c r="BY13" s="7" t="s">
        <v>976</v>
      </c>
      <c r="CJ13" s="7" t="s">
        <v>1934</v>
      </c>
      <c r="CL13" s="7" t="s">
        <v>977</v>
      </c>
      <c r="CN13" s="7" t="s">
        <v>976</v>
      </c>
      <c r="CP13" s="7" t="s">
        <v>3783</v>
      </c>
      <c r="CR13" s="7" t="s">
        <v>976</v>
      </c>
      <c r="CT13" s="7" t="s">
        <v>2006</v>
      </c>
      <c r="CU13" s="7" t="s">
        <v>2006</v>
      </c>
      <c r="CV13" s="7" t="s">
        <v>2006</v>
      </c>
      <c r="CW13" s="7" t="s">
        <v>2006</v>
      </c>
      <c r="CX13" s="7" t="s">
        <v>2006</v>
      </c>
      <c r="CY13" s="7" t="s">
        <v>2006</v>
      </c>
      <c r="CZ13" s="7" t="s">
        <v>2006</v>
      </c>
      <c r="DA13" s="7" t="s">
        <v>2006</v>
      </c>
      <c r="DB13" s="7" t="s">
        <v>1959</v>
      </c>
      <c r="DC13" s="7" t="s">
        <v>1959</v>
      </c>
      <c r="DD13" s="7" t="s">
        <v>1959</v>
      </c>
      <c r="DE13" s="7" t="s">
        <v>1959</v>
      </c>
      <c r="DF13" s="7" t="s">
        <v>1941</v>
      </c>
      <c r="DG13" s="7" t="s">
        <v>1941</v>
      </c>
      <c r="DL13" s="7" t="s">
        <v>976</v>
      </c>
      <c r="DZ13" s="7" t="s">
        <v>1934</v>
      </c>
      <c r="EB13" s="7" t="s">
        <v>977</v>
      </c>
      <c r="ED13" s="7" t="s">
        <v>972</v>
      </c>
      <c r="EF13" s="7">
        <v>20</v>
      </c>
      <c r="FC13" s="7" t="s">
        <v>977</v>
      </c>
      <c r="FO13" s="7" t="s">
        <v>976</v>
      </c>
    </row>
    <row r="14" spans="1:172" ht="38.25" x14ac:dyDescent="0.2">
      <c r="A14" s="34" t="s">
        <v>926</v>
      </c>
      <c r="B14" s="7" t="s">
        <v>3701</v>
      </c>
      <c r="C14" s="7" t="s">
        <v>1934</v>
      </c>
      <c r="E14" s="7" t="s">
        <v>977</v>
      </c>
      <c r="G14" s="7">
        <v>0</v>
      </c>
      <c r="H14" s="7" t="s">
        <v>972</v>
      </c>
      <c r="I14" s="7" t="s">
        <v>2001</v>
      </c>
      <c r="J14" s="7" t="s">
        <v>972</v>
      </c>
      <c r="K14" s="7" t="s">
        <v>972</v>
      </c>
      <c r="L14" s="7">
        <v>8</v>
      </c>
      <c r="M14" s="7" t="s">
        <v>1935</v>
      </c>
      <c r="O14" s="7" t="s">
        <v>972</v>
      </c>
      <c r="P14" s="7">
        <v>180</v>
      </c>
      <c r="Q14" s="7" t="s">
        <v>1935</v>
      </c>
      <c r="S14" s="7" t="s">
        <v>976</v>
      </c>
      <c r="U14" s="7" t="s">
        <v>976</v>
      </c>
      <c r="W14" s="7" t="s">
        <v>1937</v>
      </c>
      <c r="Y14" s="7" t="s">
        <v>977</v>
      </c>
      <c r="AA14" s="7">
        <v>0</v>
      </c>
      <c r="AB14" s="7">
        <v>52</v>
      </c>
      <c r="AU14" s="7" t="s">
        <v>1938</v>
      </c>
      <c r="AW14" s="7" t="s">
        <v>977</v>
      </c>
      <c r="AY14" s="7">
        <v>365</v>
      </c>
      <c r="AZ14" s="7">
        <v>4</v>
      </c>
      <c r="BR14" s="7" t="s">
        <v>1934</v>
      </c>
      <c r="BT14" s="7" t="s">
        <v>977</v>
      </c>
      <c r="BV14" s="7" t="s">
        <v>972</v>
      </c>
      <c r="BW14" s="7">
        <v>0</v>
      </c>
      <c r="BX14" s="7">
        <v>8</v>
      </c>
      <c r="BY14" s="7" t="s">
        <v>976</v>
      </c>
      <c r="CJ14" s="7" t="s">
        <v>1934</v>
      </c>
      <c r="CL14" s="7" t="s">
        <v>977</v>
      </c>
      <c r="CN14" s="7" t="s">
        <v>976</v>
      </c>
      <c r="CO14" s="7">
        <v>0</v>
      </c>
      <c r="CP14" s="7" t="s">
        <v>3754</v>
      </c>
      <c r="CR14" s="7" t="s">
        <v>976</v>
      </c>
      <c r="CT14" s="7" t="s">
        <v>1945</v>
      </c>
      <c r="CU14" s="7" t="s">
        <v>1945</v>
      </c>
      <c r="CV14" s="7" t="s">
        <v>1940</v>
      </c>
      <c r="CW14" s="7" t="s">
        <v>1940</v>
      </c>
      <c r="CX14" s="7" t="s">
        <v>1940</v>
      </c>
      <c r="CY14" s="7" t="s">
        <v>1945</v>
      </c>
      <c r="CZ14" s="7" t="s">
        <v>1945</v>
      </c>
      <c r="DA14" s="7" t="s">
        <v>1945</v>
      </c>
      <c r="DB14" s="7" t="s">
        <v>1945</v>
      </c>
      <c r="DC14" s="7" t="s">
        <v>1945</v>
      </c>
      <c r="DD14" s="7" t="s">
        <v>1945</v>
      </c>
      <c r="DL14" s="7" t="s">
        <v>976</v>
      </c>
      <c r="FC14" s="7" t="s">
        <v>977</v>
      </c>
      <c r="FE14" s="7">
        <v>0</v>
      </c>
      <c r="FN14" s="7" t="s">
        <v>2002</v>
      </c>
      <c r="FO14" s="7" t="s">
        <v>976</v>
      </c>
    </row>
    <row r="15" spans="1:172" ht="51" x14ac:dyDescent="0.2">
      <c r="A15" s="34" t="s">
        <v>948</v>
      </c>
      <c r="B15" s="7" t="s">
        <v>3702</v>
      </c>
      <c r="C15" s="7" t="s">
        <v>1934</v>
      </c>
      <c r="E15" s="7" t="s">
        <v>977</v>
      </c>
      <c r="G15" s="7">
        <v>0</v>
      </c>
      <c r="H15" s="7" t="s">
        <v>972</v>
      </c>
      <c r="I15" s="7" t="s">
        <v>2051</v>
      </c>
      <c r="J15" s="7" t="s">
        <v>972</v>
      </c>
      <c r="K15" s="7" t="s">
        <v>972</v>
      </c>
      <c r="L15" s="7">
        <v>5</v>
      </c>
      <c r="M15" s="7" t="s">
        <v>1935</v>
      </c>
      <c r="O15" s="7" t="s">
        <v>972</v>
      </c>
      <c r="P15" s="7" t="s">
        <v>2076</v>
      </c>
      <c r="Q15" s="7" t="s">
        <v>1935</v>
      </c>
      <c r="S15" s="7" t="s">
        <v>976</v>
      </c>
      <c r="U15" s="7" t="s">
        <v>976</v>
      </c>
      <c r="W15" s="7" t="s">
        <v>1942</v>
      </c>
      <c r="X15" s="7" t="s">
        <v>2077</v>
      </c>
      <c r="Y15" s="7" t="s">
        <v>977</v>
      </c>
      <c r="AA15" s="7">
        <v>0</v>
      </c>
      <c r="AB15" s="7">
        <v>26</v>
      </c>
      <c r="AC15" s="7" t="s">
        <v>1942</v>
      </c>
      <c r="AD15" s="7" t="s">
        <v>2078</v>
      </c>
      <c r="AE15" s="7" t="s">
        <v>977</v>
      </c>
      <c r="AG15" s="7">
        <v>0</v>
      </c>
      <c r="AH15" s="7">
        <v>26</v>
      </c>
      <c r="AO15" s="7" t="s">
        <v>1942</v>
      </c>
      <c r="AP15" s="7" t="s">
        <v>2079</v>
      </c>
      <c r="AQ15" s="7" t="s">
        <v>977</v>
      </c>
      <c r="AS15" s="7">
        <v>182</v>
      </c>
      <c r="AT15" s="7">
        <v>37</v>
      </c>
      <c r="AU15" s="7" t="s">
        <v>1938</v>
      </c>
      <c r="AW15" s="7" t="s">
        <v>977</v>
      </c>
      <c r="AY15" s="7">
        <v>364</v>
      </c>
      <c r="AZ15" s="7">
        <v>18</v>
      </c>
      <c r="BA15" s="7" t="s">
        <v>994</v>
      </c>
      <c r="BB15" s="7" t="s">
        <v>2080</v>
      </c>
      <c r="BC15" s="7" t="s">
        <v>977</v>
      </c>
      <c r="BE15" s="7">
        <v>182</v>
      </c>
      <c r="BF15" s="7">
        <v>52</v>
      </c>
      <c r="BR15" s="7" t="s">
        <v>994</v>
      </c>
      <c r="BS15" s="7" t="s">
        <v>2081</v>
      </c>
      <c r="BT15" s="7" t="s">
        <v>977</v>
      </c>
      <c r="BV15" s="7" t="s">
        <v>972</v>
      </c>
      <c r="BW15" s="7">
        <v>0</v>
      </c>
      <c r="BX15" s="7" t="s">
        <v>2082</v>
      </c>
      <c r="BY15" s="7" t="s">
        <v>976</v>
      </c>
      <c r="CJ15" s="7" t="s">
        <v>1934</v>
      </c>
      <c r="CL15" s="7" t="s">
        <v>977</v>
      </c>
      <c r="CN15" s="7" t="s">
        <v>976</v>
      </c>
      <c r="CO15" s="7">
        <v>0</v>
      </c>
      <c r="CP15" s="7" t="s">
        <v>3781</v>
      </c>
      <c r="CR15" s="7" t="s">
        <v>976</v>
      </c>
      <c r="CT15" s="7" t="s">
        <v>1954</v>
      </c>
      <c r="CU15" s="7" t="s">
        <v>1954</v>
      </c>
      <c r="CV15" s="7" t="s">
        <v>1954</v>
      </c>
      <c r="CW15" s="7" t="s">
        <v>1954</v>
      </c>
      <c r="CX15" s="7" t="s">
        <v>1954</v>
      </c>
      <c r="CY15" s="7" t="s">
        <v>1948</v>
      </c>
      <c r="CZ15" s="7" t="s">
        <v>1954</v>
      </c>
      <c r="DA15" s="7" t="s">
        <v>1954</v>
      </c>
      <c r="DB15" s="7" t="s">
        <v>1948</v>
      </c>
      <c r="DC15" s="7" t="s">
        <v>1948</v>
      </c>
      <c r="DD15" s="7" t="s">
        <v>1948</v>
      </c>
      <c r="DE15" s="7" t="s">
        <v>1948</v>
      </c>
      <c r="DF15" s="7" t="s">
        <v>1948</v>
      </c>
      <c r="DG15" s="7" t="s">
        <v>1948</v>
      </c>
      <c r="DH15" s="7" t="s">
        <v>1948</v>
      </c>
      <c r="DL15" s="7" t="s">
        <v>976</v>
      </c>
      <c r="DZ15" s="7" t="s">
        <v>1934</v>
      </c>
      <c r="EB15" s="7" t="s">
        <v>977</v>
      </c>
      <c r="ED15" s="7" t="s">
        <v>972</v>
      </c>
      <c r="EE15" s="7">
        <v>0</v>
      </c>
      <c r="FC15" s="7" t="s">
        <v>977</v>
      </c>
      <c r="FE15" s="7">
        <v>0</v>
      </c>
      <c r="FG15" s="7" t="s">
        <v>2083</v>
      </c>
      <c r="FH15" s="7" t="s">
        <v>1934</v>
      </c>
      <c r="FJ15" s="7" t="s">
        <v>977</v>
      </c>
      <c r="FL15" s="7">
        <v>0</v>
      </c>
      <c r="FM15" s="7">
        <v>2</v>
      </c>
      <c r="FN15" s="7" t="s">
        <v>2084</v>
      </c>
      <c r="FO15" s="7" t="s">
        <v>976</v>
      </c>
    </row>
    <row r="16" spans="1:172" ht="51" x14ac:dyDescent="0.2">
      <c r="A16" s="34" t="s">
        <v>932</v>
      </c>
      <c r="B16" s="7" t="s">
        <v>3722</v>
      </c>
      <c r="C16" s="7" t="s">
        <v>1934</v>
      </c>
      <c r="E16" s="7" t="s">
        <v>977</v>
      </c>
      <c r="G16" s="7">
        <v>0</v>
      </c>
      <c r="H16" s="7" t="s">
        <v>972</v>
      </c>
      <c r="I16" s="7" t="s">
        <v>2017</v>
      </c>
      <c r="J16" s="7" t="s">
        <v>972</v>
      </c>
      <c r="K16" s="7" t="s">
        <v>972</v>
      </c>
      <c r="L16" s="7">
        <v>5</v>
      </c>
      <c r="M16" s="7" t="s">
        <v>1935</v>
      </c>
      <c r="O16" s="7" t="s">
        <v>972</v>
      </c>
      <c r="P16" s="7" t="s">
        <v>1966</v>
      </c>
      <c r="Q16" s="7" t="s">
        <v>1935</v>
      </c>
      <c r="S16" s="7" t="s">
        <v>976</v>
      </c>
      <c r="U16" s="7" t="s">
        <v>976</v>
      </c>
      <c r="W16" s="7" t="s">
        <v>1942</v>
      </c>
      <c r="X16" s="7" t="s">
        <v>2018</v>
      </c>
      <c r="Y16" s="7" t="s">
        <v>977</v>
      </c>
      <c r="AA16" s="7">
        <v>183</v>
      </c>
      <c r="AB16" s="7">
        <v>40</v>
      </c>
      <c r="AC16" s="7" t="s">
        <v>1942</v>
      </c>
      <c r="AD16" s="7" t="s">
        <v>2019</v>
      </c>
      <c r="AE16" s="7" t="s">
        <v>977</v>
      </c>
      <c r="AG16" s="7">
        <v>183</v>
      </c>
      <c r="AH16" s="7">
        <v>12</v>
      </c>
      <c r="AI16" s="7" t="s">
        <v>1934</v>
      </c>
      <c r="AK16" s="7" t="s">
        <v>977</v>
      </c>
      <c r="AM16" s="7">
        <v>183</v>
      </c>
      <c r="AN16" s="7">
        <v>6</v>
      </c>
      <c r="AO16" s="7" t="s">
        <v>1942</v>
      </c>
      <c r="AP16" s="7" t="s">
        <v>2020</v>
      </c>
      <c r="AQ16" s="7" t="s">
        <v>977</v>
      </c>
      <c r="AS16" s="7">
        <v>183</v>
      </c>
      <c r="AT16" s="7">
        <v>50</v>
      </c>
      <c r="AU16" s="7" t="s">
        <v>1938</v>
      </c>
      <c r="AW16" s="7" t="s">
        <v>977</v>
      </c>
      <c r="AY16" s="7">
        <v>365</v>
      </c>
      <c r="AZ16" s="7">
        <v>18</v>
      </c>
      <c r="BA16" s="7" t="s">
        <v>994</v>
      </c>
      <c r="BB16" s="7" t="s">
        <v>2021</v>
      </c>
      <c r="BC16" s="7" t="s">
        <v>977</v>
      </c>
      <c r="BE16" s="7">
        <v>183</v>
      </c>
      <c r="BF16" s="7">
        <v>52</v>
      </c>
      <c r="BG16" s="7" t="s">
        <v>1934</v>
      </c>
      <c r="BI16" s="7" t="s">
        <v>977</v>
      </c>
      <c r="BK16" s="7" t="s">
        <v>3758</v>
      </c>
      <c r="BL16" s="7" t="s">
        <v>2022</v>
      </c>
      <c r="BM16" s="7">
        <v>183</v>
      </c>
      <c r="BN16" s="7">
        <v>4</v>
      </c>
      <c r="BO16" s="7" t="s">
        <v>972</v>
      </c>
      <c r="BP16" s="7" t="s">
        <v>976</v>
      </c>
      <c r="BR16" s="7" t="s">
        <v>1934</v>
      </c>
      <c r="BT16" s="7" t="s">
        <v>977</v>
      </c>
      <c r="BV16" s="7" t="s">
        <v>972</v>
      </c>
      <c r="BW16" s="7">
        <v>0</v>
      </c>
      <c r="BX16" s="7">
        <v>28</v>
      </c>
      <c r="BY16" s="7" t="s">
        <v>976</v>
      </c>
      <c r="CJ16" s="7" t="s">
        <v>1934</v>
      </c>
      <c r="CL16" s="7" t="s">
        <v>977</v>
      </c>
      <c r="CN16" s="7" t="s">
        <v>976</v>
      </c>
      <c r="CO16" s="7">
        <v>0</v>
      </c>
      <c r="CP16" s="7" t="s">
        <v>3759</v>
      </c>
      <c r="CR16" s="7" t="s">
        <v>976</v>
      </c>
      <c r="CT16" s="7" t="s">
        <v>1959</v>
      </c>
      <c r="CU16" s="7" t="s">
        <v>1959</v>
      </c>
      <c r="CV16" s="7" t="s">
        <v>1959</v>
      </c>
      <c r="CW16" s="7" t="s">
        <v>1959</v>
      </c>
      <c r="CX16" s="7" t="s">
        <v>1959</v>
      </c>
      <c r="CY16" s="7" t="s">
        <v>1948</v>
      </c>
      <c r="CZ16" s="7" t="s">
        <v>1959</v>
      </c>
      <c r="DA16" s="7" t="s">
        <v>1959</v>
      </c>
      <c r="DB16" s="7" t="s">
        <v>1948</v>
      </c>
      <c r="DC16" s="7" t="s">
        <v>1948</v>
      </c>
      <c r="DD16" s="7" t="s">
        <v>1948</v>
      </c>
      <c r="DE16" s="7" t="s">
        <v>1948</v>
      </c>
      <c r="DL16" s="7" t="s">
        <v>976</v>
      </c>
      <c r="FC16" s="7" t="s">
        <v>977</v>
      </c>
      <c r="FE16" s="7">
        <v>365</v>
      </c>
      <c r="FF16" s="7">
        <v>12</v>
      </c>
      <c r="FN16" s="7" t="s">
        <v>2023</v>
      </c>
      <c r="FO16" s="7" t="s">
        <v>976</v>
      </c>
    </row>
    <row r="17" spans="1:171" ht="51" x14ac:dyDescent="0.2">
      <c r="A17" s="34" t="s">
        <v>941</v>
      </c>
      <c r="B17" s="7" t="s">
        <v>3711</v>
      </c>
      <c r="C17" s="7" t="s">
        <v>1934</v>
      </c>
      <c r="E17" s="7" t="s">
        <v>977</v>
      </c>
      <c r="G17" s="7">
        <v>0</v>
      </c>
      <c r="H17" s="7" t="s">
        <v>972</v>
      </c>
      <c r="I17" s="7" t="s">
        <v>2051</v>
      </c>
      <c r="J17" s="7" t="s">
        <v>972</v>
      </c>
      <c r="K17" s="7" t="s">
        <v>972</v>
      </c>
      <c r="L17" s="7">
        <v>5</v>
      </c>
      <c r="M17" s="7" t="s">
        <v>1935</v>
      </c>
      <c r="O17" s="7" t="s">
        <v>972</v>
      </c>
      <c r="P17" s="7" t="s">
        <v>2052</v>
      </c>
      <c r="Q17" s="7" t="s">
        <v>1935</v>
      </c>
      <c r="S17" s="7" t="s">
        <v>1023</v>
      </c>
      <c r="U17" s="7" t="s">
        <v>976</v>
      </c>
      <c r="W17" s="7" t="s">
        <v>1937</v>
      </c>
      <c r="Y17" s="7" t="s">
        <v>977</v>
      </c>
      <c r="AA17" s="7">
        <v>0</v>
      </c>
      <c r="AB17" s="7">
        <v>52</v>
      </c>
      <c r="AC17" s="7" t="s">
        <v>1937</v>
      </c>
      <c r="AE17" s="7" t="s">
        <v>977</v>
      </c>
      <c r="AG17" s="7">
        <v>0</v>
      </c>
      <c r="AH17" s="7">
        <v>26</v>
      </c>
      <c r="AI17" s="7" t="s">
        <v>1934</v>
      </c>
      <c r="AK17" s="7" t="s">
        <v>977</v>
      </c>
      <c r="AM17" s="7">
        <v>0</v>
      </c>
      <c r="AN17" s="7">
        <v>16</v>
      </c>
      <c r="AO17" s="7" t="s">
        <v>1937</v>
      </c>
      <c r="AQ17" s="7" t="s">
        <v>977</v>
      </c>
      <c r="AS17" s="7">
        <v>0</v>
      </c>
      <c r="AT17" s="7">
        <v>50</v>
      </c>
      <c r="AU17" s="7" t="s">
        <v>1937</v>
      </c>
      <c r="AW17" s="7" t="s">
        <v>977</v>
      </c>
      <c r="AY17" s="7">
        <v>0</v>
      </c>
      <c r="AZ17" s="7">
        <v>16</v>
      </c>
      <c r="BA17" s="7" t="s">
        <v>1934</v>
      </c>
      <c r="BC17" s="7" t="s">
        <v>977</v>
      </c>
      <c r="BE17" s="7">
        <v>0</v>
      </c>
      <c r="BF17" s="7">
        <v>16</v>
      </c>
      <c r="BG17" s="7" t="s">
        <v>1934</v>
      </c>
      <c r="BI17" s="7" t="s">
        <v>977</v>
      </c>
      <c r="BK17" s="7" t="s">
        <v>3755</v>
      </c>
      <c r="BM17" s="7">
        <v>0</v>
      </c>
      <c r="BN17" s="7">
        <v>6</v>
      </c>
      <c r="BO17" s="7" t="s">
        <v>976</v>
      </c>
      <c r="BP17" s="7" t="s">
        <v>976</v>
      </c>
      <c r="BR17" s="7" t="s">
        <v>1934</v>
      </c>
      <c r="BT17" s="7" t="s">
        <v>977</v>
      </c>
      <c r="BV17" s="7" t="s">
        <v>972</v>
      </c>
      <c r="BW17" s="7">
        <v>0</v>
      </c>
      <c r="BX17" s="7" t="s">
        <v>2053</v>
      </c>
      <c r="BY17" s="7" t="s">
        <v>976</v>
      </c>
      <c r="CJ17" s="7" t="s">
        <v>1934</v>
      </c>
      <c r="CL17" s="7" t="s">
        <v>977</v>
      </c>
      <c r="CN17" s="7" t="s">
        <v>976</v>
      </c>
      <c r="CO17" s="7">
        <v>0</v>
      </c>
      <c r="CP17" s="7" t="s">
        <v>3759</v>
      </c>
      <c r="CR17" s="7" t="s">
        <v>976</v>
      </c>
      <c r="CT17" s="7" t="s">
        <v>1954</v>
      </c>
      <c r="CU17" s="7" t="s">
        <v>1954</v>
      </c>
      <c r="CV17" s="7" t="s">
        <v>1954</v>
      </c>
      <c r="CW17" s="7" t="s">
        <v>1954</v>
      </c>
      <c r="CX17" s="7" t="s">
        <v>1959</v>
      </c>
      <c r="CY17" s="7" t="s">
        <v>1959</v>
      </c>
      <c r="CZ17" s="7" t="s">
        <v>1959</v>
      </c>
      <c r="DA17" s="7" t="s">
        <v>1959</v>
      </c>
      <c r="DB17" s="7" t="s">
        <v>1959</v>
      </c>
      <c r="DC17" s="7" t="s">
        <v>1959</v>
      </c>
      <c r="DD17" s="7" t="s">
        <v>1959</v>
      </c>
      <c r="DE17" s="7" t="s">
        <v>1959</v>
      </c>
      <c r="DL17" s="7" t="s">
        <v>976</v>
      </c>
      <c r="DZ17" s="7" t="s">
        <v>1934</v>
      </c>
      <c r="EB17" s="7" t="s">
        <v>977</v>
      </c>
      <c r="ED17" s="7" t="s">
        <v>972</v>
      </c>
      <c r="EE17" s="7">
        <v>0</v>
      </c>
      <c r="EO17" s="7" t="s">
        <v>1934</v>
      </c>
      <c r="EQ17" s="7" t="s">
        <v>977</v>
      </c>
      <c r="ES17" s="7">
        <v>0</v>
      </c>
      <c r="ET17" s="7">
        <v>2</v>
      </c>
      <c r="FC17" s="7" t="s">
        <v>977</v>
      </c>
      <c r="FE17" s="7">
        <v>0</v>
      </c>
      <c r="FF17" s="7">
        <v>22</v>
      </c>
      <c r="FG17" s="7" t="s">
        <v>2054</v>
      </c>
      <c r="FH17" s="7" t="s">
        <v>1934</v>
      </c>
      <c r="FJ17" s="7" t="s">
        <v>977</v>
      </c>
      <c r="FL17" s="7">
        <v>0</v>
      </c>
      <c r="FM17" s="7">
        <v>4</v>
      </c>
      <c r="FO17" s="7" t="s">
        <v>976</v>
      </c>
    </row>
    <row r="18" spans="1:171" ht="63.75" x14ac:dyDescent="0.2">
      <c r="A18" s="34" t="s">
        <v>956</v>
      </c>
      <c r="B18" s="7" t="s">
        <v>3740</v>
      </c>
      <c r="C18" s="7" t="s">
        <v>1934</v>
      </c>
      <c r="E18" s="7" t="s">
        <v>977</v>
      </c>
      <c r="G18" s="7">
        <v>0</v>
      </c>
      <c r="H18" s="7" t="s">
        <v>972</v>
      </c>
      <c r="I18" s="7">
        <v>5.6</v>
      </c>
      <c r="J18" s="7" t="s">
        <v>972</v>
      </c>
      <c r="K18" s="7" t="s">
        <v>972</v>
      </c>
      <c r="L18" s="7">
        <v>5</v>
      </c>
      <c r="M18" s="7" t="s">
        <v>1935</v>
      </c>
      <c r="O18" s="7" t="s">
        <v>972</v>
      </c>
      <c r="P18" s="7" t="s">
        <v>1936</v>
      </c>
      <c r="Q18" s="7" t="s">
        <v>1935</v>
      </c>
      <c r="S18" s="7" t="s">
        <v>976</v>
      </c>
      <c r="U18" s="7" t="s">
        <v>976</v>
      </c>
      <c r="W18" s="7" t="s">
        <v>1937</v>
      </c>
      <c r="Y18" s="7" t="s">
        <v>977</v>
      </c>
      <c r="AA18" s="7">
        <v>0</v>
      </c>
      <c r="AB18" s="7">
        <v>26</v>
      </c>
      <c r="AC18" s="7" t="s">
        <v>1937</v>
      </c>
      <c r="AE18" s="7" t="s">
        <v>977</v>
      </c>
      <c r="AG18" s="7">
        <v>0</v>
      </c>
      <c r="AH18" s="7">
        <v>26</v>
      </c>
      <c r="AI18" s="7" t="s">
        <v>1934</v>
      </c>
      <c r="AK18" s="7" t="s">
        <v>977</v>
      </c>
      <c r="AM18" s="7">
        <v>0</v>
      </c>
      <c r="AN18" s="7">
        <v>12</v>
      </c>
      <c r="AO18" s="7" t="s">
        <v>1942</v>
      </c>
      <c r="AQ18" s="7" t="s">
        <v>977</v>
      </c>
      <c r="AS18" s="7">
        <v>0</v>
      </c>
      <c r="AT18" s="7">
        <v>52</v>
      </c>
      <c r="BR18" s="7" t="s">
        <v>1934</v>
      </c>
      <c r="BT18" s="7" t="s">
        <v>977</v>
      </c>
      <c r="BV18" s="7" t="s">
        <v>976</v>
      </c>
      <c r="BW18" s="7">
        <v>0</v>
      </c>
      <c r="BX18" s="7">
        <v>180</v>
      </c>
      <c r="BY18" s="7" t="s">
        <v>976</v>
      </c>
      <c r="CJ18" s="7" t="s">
        <v>1934</v>
      </c>
      <c r="CL18" s="7" t="s">
        <v>977</v>
      </c>
      <c r="CN18" s="7" t="s">
        <v>976</v>
      </c>
      <c r="CO18" s="7">
        <v>0</v>
      </c>
      <c r="CP18" s="7" t="s">
        <v>3784</v>
      </c>
      <c r="CR18" s="7" t="s">
        <v>972</v>
      </c>
      <c r="CS18" s="7" t="s">
        <v>1959</v>
      </c>
      <c r="DL18" s="7" t="s">
        <v>976</v>
      </c>
      <c r="EU18" s="7" t="s">
        <v>1939</v>
      </c>
      <c r="EW18" s="7" t="s">
        <v>977</v>
      </c>
      <c r="EY18" s="7">
        <v>5</v>
      </c>
      <c r="EZ18" s="7" t="s">
        <v>2111</v>
      </c>
      <c r="FA18" s="7" t="s">
        <v>2044</v>
      </c>
      <c r="FC18" s="7" t="s">
        <v>977</v>
      </c>
      <c r="FE18" s="7">
        <v>0</v>
      </c>
      <c r="FO18" s="7" t="s">
        <v>976</v>
      </c>
    </row>
    <row r="19" spans="1:171" ht="63.75" x14ac:dyDescent="0.2">
      <c r="A19" s="34" t="s">
        <v>934</v>
      </c>
      <c r="B19" s="7" t="s">
        <v>3708</v>
      </c>
      <c r="C19" s="7" t="s">
        <v>1934</v>
      </c>
      <c r="E19" s="7" t="s">
        <v>977</v>
      </c>
      <c r="G19" s="7">
        <v>0</v>
      </c>
      <c r="H19" s="7" t="s">
        <v>976</v>
      </c>
      <c r="I19" s="7" t="s">
        <v>2027</v>
      </c>
      <c r="J19" s="7" t="s">
        <v>972</v>
      </c>
      <c r="K19" s="7" t="s">
        <v>972</v>
      </c>
      <c r="L19" s="7">
        <v>5</v>
      </c>
      <c r="M19" s="7" t="s">
        <v>1935</v>
      </c>
      <c r="O19" s="7" t="s">
        <v>972</v>
      </c>
      <c r="P19" s="7" t="s">
        <v>1936</v>
      </c>
      <c r="Q19" s="7" t="s">
        <v>1935</v>
      </c>
      <c r="S19" s="7" t="s">
        <v>972</v>
      </c>
      <c r="T19" s="7">
        <v>5</v>
      </c>
      <c r="U19" s="7" t="s">
        <v>976</v>
      </c>
      <c r="W19" s="7" t="s">
        <v>1937</v>
      </c>
      <c r="Y19" s="7" t="s">
        <v>977</v>
      </c>
      <c r="AA19" s="7">
        <v>0</v>
      </c>
      <c r="AB19" s="7">
        <v>52</v>
      </c>
      <c r="AC19" s="7" t="s">
        <v>1938</v>
      </c>
      <c r="AE19" s="7" t="s">
        <v>977</v>
      </c>
      <c r="AG19" s="7">
        <v>0</v>
      </c>
      <c r="AH19" s="7">
        <v>26</v>
      </c>
      <c r="AI19" s="7" t="s">
        <v>1934</v>
      </c>
      <c r="AK19" s="7" t="s">
        <v>977</v>
      </c>
      <c r="AM19" s="7">
        <v>0</v>
      </c>
      <c r="AN19" s="7">
        <v>2</v>
      </c>
      <c r="AO19" s="7" t="s">
        <v>1938</v>
      </c>
      <c r="AQ19" s="7" t="s">
        <v>977</v>
      </c>
      <c r="AS19" s="7">
        <v>0</v>
      </c>
      <c r="AT19" s="7">
        <v>50</v>
      </c>
      <c r="AU19" s="7" t="s">
        <v>1938</v>
      </c>
      <c r="AW19" s="7" t="s">
        <v>977</v>
      </c>
      <c r="AY19" s="7">
        <v>0</v>
      </c>
      <c r="AZ19" s="7">
        <v>18</v>
      </c>
      <c r="BA19" s="7" t="s">
        <v>1939</v>
      </c>
      <c r="BC19" s="7" t="s">
        <v>977</v>
      </c>
      <c r="BE19" s="7">
        <v>0</v>
      </c>
      <c r="BF19" s="7">
        <v>52</v>
      </c>
      <c r="BG19" s="7" t="s">
        <v>1939</v>
      </c>
      <c r="BI19" s="7" t="s">
        <v>977</v>
      </c>
      <c r="BK19" s="7" t="s">
        <v>2028</v>
      </c>
      <c r="BM19" s="7">
        <v>0</v>
      </c>
      <c r="BN19" s="7">
        <v>1</v>
      </c>
      <c r="BO19" s="7" t="s">
        <v>972</v>
      </c>
      <c r="BP19" s="7" t="s">
        <v>976</v>
      </c>
      <c r="BR19" s="7" t="s">
        <v>1934</v>
      </c>
      <c r="BT19" s="7" t="s">
        <v>977</v>
      </c>
      <c r="BV19" s="7" t="s">
        <v>972</v>
      </c>
      <c r="BW19" s="7">
        <v>0</v>
      </c>
      <c r="BX19" s="7" t="s">
        <v>2029</v>
      </c>
      <c r="BY19" s="7" t="s">
        <v>976</v>
      </c>
      <c r="CD19" s="7" t="s">
        <v>1934</v>
      </c>
      <c r="CF19" s="7" t="s">
        <v>977</v>
      </c>
      <c r="CH19" s="7">
        <v>0</v>
      </c>
      <c r="CI19" s="7">
        <v>1</v>
      </c>
      <c r="CJ19" s="7" t="s">
        <v>1934</v>
      </c>
      <c r="CL19" s="7" t="s">
        <v>977</v>
      </c>
      <c r="CN19" s="7" t="s">
        <v>976</v>
      </c>
      <c r="CO19" s="7">
        <v>0</v>
      </c>
      <c r="CP19" s="7" t="s">
        <v>3785</v>
      </c>
      <c r="CR19" s="7" t="s">
        <v>972</v>
      </c>
      <c r="CS19" s="7" t="s">
        <v>1955</v>
      </c>
      <c r="DL19" s="7" t="s">
        <v>976</v>
      </c>
      <c r="DT19" s="7" t="s">
        <v>1934</v>
      </c>
      <c r="DV19" s="7" t="s">
        <v>977</v>
      </c>
      <c r="DX19" s="7">
        <v>0</v>
      </c>
      <c r="DY19" s="7">
        <v>2</v>
      </c>
      <c r="DZ19" s="7" t="s">
        <v>1934</v>
      </c>
      <c r="EB19" s="7" t="s">
        <v>977</v>
      </c>
      <c r="ED19" s="7" t="s">
        <v>972</v>
      </c>
      <c r="EE19" s="7">
        <v>0</v>
      </c>
      <c r="EF19" s="7">
        <v>10</v>
      </c>
      <c r="EG19" s="7" t="s">
        <v>1934</v>
      </c>
      <c r="EI19" s="7" t="s">
        <v>977</v>
      </c>
      <c r="EK19" s="7">
        <v>0</v>
      </c>
      <c r="EL19" s="7" t="s">
        <v>1964</v>
      </c>
      <c r="EN19" s="7">
        <v>1</v>
      </c>
      <c r="EU19" s="7" t="s">
        <v>1939</v>
      </c>
      <c r="EW19" s="7" t="s">
        <v>977</v>
      </c>
      <c r="EY19" s="7">
        <v>0</v>
      </c>
      <c r="EZ19" s="7">
        <v>26</v>
      </c>
      <c r="FA19" s="7" t="s">
        <v>1967</v>
      </c>
      <c r="FB19" s="7" t="s">
        <v>2030</v>
      </c>
      <c r="FC19" s="7" t="s">
        <v>977</v>
      </c>
      <c r="FE19" s="7">
        <v>0</v>
      </c>
      <c r="FF19" s="7">
        <v>26</v>
      </c>
      <c r="FO19" s="7" t="s">
        <v>976</v>
      </c>
    </row>
    <row r="20" spans="1:171" ht="51" x14ac:dyDescent="0.2">
      <c r="A20" s="34" t="s">
        <v>961</v>
      </c>
      <c r="B20" s="7" t="s">
        <v>3717</v>
      </c>
      <c r="C20" s="7" t="s">
        <v>1934</v>
      </c>
      <c r="E20" s="7" t="s">
        <v>977</v>
      </c>
      <c r="G20" s="7">
        <v>0</v>
      </c>
      <c r="H20" s="7" t="s">
        <v>972</v>
      </c>
      <c r="I20" s="7" t="s">
        <v>2125</v>
      </c>
      <c r="J20" s="7" t="s">
        <v>972</v>
      </c>
      <c r="K20" s="7" t="s">
        <v>972</v>
      </c>
      <c r="L20" s="7">
        <v>5</v>
      </c>
      <c r="M20" s="7" t="s">
        <v>1935</v>
      </c>
      <c r="O20" s="7" t="s">
        <v>972</v>
      </c>
      <c r="P20" s="7" t="s">
        <v>2126</v>
      </c>
      <c r="Q20" s="7" t="s">
        <v>1935</v>
      </c>
      <c r="S20" s="7" t="s">
        <v>976</v>
      </c>
      <c r="U20" s="7" t="s">
        <v>976</v>
      </c>
      <c r="W20" s="7" t="s">
        <v>1937</v>
      </c>
      <c r="Y20" s="7" t="s">
        <v>977</v>
      </c>
      <c r="AA20" s="7">
        <v>365</v>
      </c>
      <c r="AB20" s="7">
        <v>52</v>
      </c>
      <c r="AC20" s="7" t="s">
        <v>1937</v>
      </c>
      <c r="AE20" s="7" t="s">
        <v>977</v>
      </c>
      <c r="AG20" s="7">
        <v>365</v>
      </c>
      <c r="AH20" s="7">
        <v>26</v>
      </c>
      <c r="AI20" s="7" t="s">
        <v>1934</v>
      </c>
      <c r="AK20" s="7" t="s">
        <v>977</v>
      </c>
      <c r="AM20" s="7">
        <v>365</v>
      </c>
      <c r="AN20" s="7">
        <v>16</v>
      </c>
      <c r="AO20" s="7" t="s">
        <v>1938</v>
      </c>
      <c r="AQ20" s="7" t="s">
        <v>977</v>
      </c>
      <c r="AS20" s="7">
        <v>182</v>
      </c>
      <c r="AT20" s="7">
        <v>50</v>
      </c>
      <c r="AU20" s="7" t="s">
        <v>1938</v>
      </c>
      <c r="AW20" s="7" t="s">
        <v>977</v>
      </c>
      <c r="AY20" s="7">
        <v>365</v>
      </c>
      <c r="AZ20" s="7">
        <v>18</v>
      </c>
      <c r="BA20" s="7" t="s">
        <v>1934</v>
      </c>
      <c r="BC20" s="7" t="s">
        <v>977</v>
      </c>
      <c r="BE20" s="7">
        <v>365</v>
      </c>
      <c r="BF20" s="7">
        <v>52</v>
      </c>
      <c r="BG20" s="7" t="s">
        <v>1939</v>
      </c>
      <c r="BI20" s="7" t="s">
        <v>977</v>
      </c>
      <c r="BK20" s="7" t="s">
        <v>3757</v>
      </c>
      <c r="BM20" s="7">
        <v>0</v>
      </c>
      <c r="BN20" s="7">
        <v>2</v>
      </c>
      <c r="BO20" s="7" t="s">
        <v>976</v>
      </c>
      <c r="BP20" s="7" t="s">
        <v>976</v>
      </c>
      <c r="BR20" s="7" t="s">
        <v>1934</v>
      </c>
      <c r="BT20" s="7" t="s">
        <v>977</v>
      </c>
      <c r="BV20" s="7" t="s">
        <v>972</v>
      </c>
      <c r="BW20" s="7">
        <v>0</v>
      </c>
      <c r="BX20" s="7" t="s">
        <v>1957</v>
      </c>
      <c r="BY20" s="7" t="s">
        <v>976</v>
      </c>
      <c r="CD20" s="7" t="s">
        <v>1934</v>
      </c>
      <c r="CF20" s="7" t="s">
        <v>977</v>
      </c>
      <c r="CH20" s="7">
        <v>0</v>
      </c>
      <c r="CI20" s="7">
        <v>0.2</v>
      </c>
      <c r="CJ20" s="7" t="s">
        <v>1934</v>
      </c>
      <c r="CL20" s="7" t="s">
        <v>977</v>
      </c>
      <c r="CN20" s="7" t="s">
        <v>976</v>
      </c>
      <c r="CO20" s="7">
        <v>0</v>
      </c>
      <c r="CP20" s="7" t="s">
        <v>3759</v>
      </c>
      <c r="CR20" s="7" t="s">
        <v>972</v>
      </c>
      <c r="CS20" s="7" t="s">
        <v>1948</v>
      </c>
      <c r="DL20" s="7" t="s">
        <v>976</v>
      </c>
      <c r="DT20" s="7" t="s">
        <v>1939</v>
      </c>
      <c r="DV20" s="7" t="s">
        <v>977</v>
      </c>
      <c r="DX20" s="7">
        <v>0</v>
      </c>
      <c r="DZ20" s="7" t="s">
        <v>1934</v>
      </c>
      <c r="EB20" s="7" t="s">
        <v>977</v>
      </c>
      <c r="ED20" s="7" t="s">
        <v>972</v>
      </c>
      <c r="EE20" s="7">
        <v>0</v>
      </c>
      <c r="EF20" s="7">
        <v>10</v>
      </c>
      <c r="EO20" s="7" t="s">
        <v>1934</v>
      </c>
      <c r="EQ20" s="7" t="s">
        <v>977</v>
      </c>
      <c r="ES20" s="7">
        <v>0</v>
      </c>
      <c r="ET20" s="7">
        <v>5</v>
      </c>
      <c r="FC20" s="7" t="s">
        <v>977</v>
      </c>
      <c r="FE20" s="7">
        <v>0</v>
      </c>
      <c r="FF20" s="7">
        <v>12</v>
      </c>
      <c r="FN20" s="7" t="s">
        <v>3797</v>
      </c>
      <c r="FO20" s="7" t="s">
        <v>976</v>
      </c>
    </row>
    <row r="21" spans="1:171" ht="38.25" x14ac:dyDescent="0.2">
      <c r="A21" s="34" t="s">
        <v>939</v>
      </c>
      <c r="B21" s="7" t="s">
        <v>3724</v>
      </c>
      <c r="C21" s="7" t="s">
        <v>1934</v>
      </c>
      <c r="E21" s="7" t="s">
        <v>977</v>
      </c>
      <c r="G21" s="7">
        <v>1</v>
      </c>
      <c r="H21" s="7" t="s">
        <v>972</v>
      </c>
      <c r="I21" s="7">
        <v>5</v>
      </c>
      <c r="J21" s="7" t="s">
        <v>972</v>
      </c>
      <c r="K21" s="7" t="s">
        <v>972</v>
      </c>
      <c r="L21" s="7">
        <v>5</v>
      </c>
      <c r="M21" s="7" t="s">
        <v>1935</v>
      </c>
      <c r="O21" s="7" t="s">
        <v>972</v>
      </c>
      <c r="P21" s="42" t="s">
        <v>2669</v>
      </c>
      <c r="Q21" s="7" t="s">
        <v>1935</v>
      </c>
      <c r="S21" s="7" t="s">
        <v>976</v>
      </c>
      <c r="U21" s="7" t="s">
        <v>976</v>
      </c>
      <c r="W21" s="7" t="s">
        <v>1942</v>
      </c>
      <c r="X21" s="7" t="s">
        <v>2047</v>
      </c>
      <c r="Y21" s="7" t="s">
        <v>977</v>
      </c>
      <c r="AA21" s="7">
        <v>365</v>
      </c>
      <c r="AB21" s="7">
        <v>26</v>
      </c>
      <c r="AC21" s="7" t="s">
        <v>1938</v>
      </c>
      <c r="AE21" s="7" t="s">
        <v>977</v>
      </c>
      <c r="AG21" s="7">
        <v>365</v>
      </c>
      <c r="AH21" s="7">
        <v>26</v>
      </c>
      <c r="AI21" s="7" t="s">
        <v>1934</v>
      </c>
      <c r="AK21" s="7" t="s">
        <v>977</v>
      </c>
      <c r="AM21" s="7">
        <v>365</v>
      </c>
      <c r="AN21" s="7">
        <v>2</v>
      </c>
      <c r="AU21" s="7" t="s">
        <v>1938</v>
      </c>
      <c r="AW21" s="7" t="s">
        <v>977</v>
      </c>
      <c r="AY21" s="7">
        <v>365</v>
      </c>
      <c r="AZ21" s="7">
        <v>4</v>
      </c>
      <c r="BA21" s="7" t="s">
        <v>1934</v>
      </c>
      <c r="BC21" s="7" t="s">
        <v>977</v>
      </c>
      <c r="BE21" s="7">
        <v>181</v>
      </c>
      <c r="BF21" s="7">
        <v>52</v>
      </c>
      <c r="BR21" s="7" t="s">
        <v>1934</v>
      </c>
      <c r="BT21" s="7" t="s">
        <v>977</v>
      </c>
      <c r="BV21" s="7" t="s">
        <v>972</v>
      </c>
      <c r="BW21" s="7">
        <v>0</v>
      </c>
      <c r="BX21" s="7">
        <v>26</v>
      </c>
      <c r="BY21" s="7" t="s">
        <v>976</v>
      </c>
      <c r="CJ21" s="7" t="s">
        <v>1934</v>
      </c>
      <c r="CL21" s="7" t="s">
        <v>977</v>
      </c>
      <c r="CN21" s="7" t="s">
        <v>976</v>
      </c>
      <c r="CP21" s="7" t="s">
        <v>990</v>
      </c>
      <c r="CQ21" s="7" t="s">
        <v>2048</v>
      </c>
      <c r="CR21" s="7" t="s">
        <v>972</v>
      </c>
      <c r="DL21" s="7" t="s">
        <v>976</v>
      </c>
      <c r="DZ21" s="7" t="s">
        <v>1934</v>
      </c>
      <c r="EB21" s="7" t="s">
        <v>977</v>
      </c>
      <c r="ED21" s="7" t="s">
        <v>972</v>
      </c>
      <c r="EE21" s="7">
        <v>1</v>
      </c>
      <c r="EO21" s="7" t="s">
        <v>1934</v>
      </c>
      <c r="EQ21" s="7" t="s">
        <v>977</v>
      </c>
      <c r="ES21" s="7">
        <v>1</v>
      </c>
      <c r="ET21" s="7">
        <v>5</v>
      </c>
      <c r="FO21" s="7" t="s">
        <v>976</v>
      </c>
    </row>
    <row r="22" spans="1:171" ht="38.25" x14ac:dyDescent="0.2">
      <c r="A22" s="34" t="s">
        <v>938</v>
      </c>
      <c r="B22" s="7" t="s">
        <v>3699</v>
      </c>
      <c r="W22" s="7" t="s">
        <v>1937</v>
      </c>
      <c r="Y22" s="7" t="s">
        <v>977</v>
      </c>
      <c r="AA22" s="7">
        <v>182</v>
      </c>
      <c r="AB22" s="7">
        <v>26</v>
      </c>
      <c r="AI22" s="7" t="s">
        <v>1934</v>
      </c>
      <c r="AK22" s="7" t="s">
        <v>977</v>
      </c>
      <c r="AM22" s="7">
        <v>182</v>
      </c>
      <c r="AN22" s="7">
        <v>16</v>
      </c>
      <c r="BA22" s="7" t="s">
        <v>1934</v>
      </c>
      <c r="BC22" s="7" t="s">
        <v>977</v>
      </c>
      <c r="BE22" s="7">
        <v>182</v>
      </c>
      <c r="BF22" s="7">
        <v>26</v>
      </c>
      <c r="BR22" s="7" t="s">
        <v>1934</v>
      </c>
      <c r="BT22" s="7" t="s">
        <v>977</v>
      </c>
      <c r="BV22" s="7" t="s">
        <v>972</v>
      </c>
      <c r="BW22" s="7">
        <v>180</v>
      </c>
      <c r="BX22" s="7">
        <v>26</v>
      </c>
      <c r="BY22" s="7" t="s">
        <v>976</v>
      </c>
      <c r="CD22" s="7" t="s">
        <v>1934</v>
      </c>
      <c r="CF22" s="7" t="s">
        <v>977</v>
      </c>
      <c r="CH22" s="7">
        <v>0</v>
      </c>
      <c r="CI22" s="7">
        <v>1</v>
      </c>
      <c r="CJ22" s="7" t="s">
        <v>1934</v>
      </c>
      <c r="CL22" s="7" t="s">
        <v>977</v>
      </c>
      <c r="CN22" s="7" t="s">
        <v>976</v>
      </c>
      <c r="CO22" s="7">
        <v>0</v>
      </c>
      <c r="CP22" s="7" t="s">
        <v>3780</v>
      </c>
      <c r="CQ22" s="7" t="s">
        <v>2045</v>
      </c>
      <c r="CR22" s="7" t="s">
        <v>972</v>
      </c>
      <c r="CS22" s="7" t="s">
        <v>1954</v>
      </c>
      <c r="DL22" s="7" t="s">
        <v>972</v>
      </c>
      <c r="DM22" s="7" t="s">
        <v>1941</v>
      </c>
      <c r="DZ22" s="7" t="s">
        <v>1934</v>
      </c>
      <c r="EB22" s="7" t="s">
        <v>977</v>
      </c>
      <c r="ED22" s="7" t="s">
        <v>972</v>
      </c>
      <c r="EE22" s="7">
        <v>0</v>
      </c>
      <c r="EF22" s="7">
        <v>5</v>
      </c>
      <c r="EG22" s="7" t="s">
        <v>1934</v>
      </c>
      <c r="EI22" s="7" t="s">
        <v>977</v>
      </c>
      <c r="EK22" s="7">
        <v>0</v>
      </c>
      <c r="EL22" s="7" t="s">
        <v>1979</v>
      </c>
      <c r="EN22" s="7">
        <v>1</v>
      </c>
      <c r="FC22" s="7" t="s">
        <v>977</v>
      </c>
      <c r="FE22" s="7">
        <v>0</v>
      </c>
      <c r="FF22" s="7">
        <v>30</v>
      </c>
      <c r="FN22" s="7" t="s">
        <v>2046</v>
      </c>
      <c r="FO22" s="7" t="s">
        <v>976</v>
      </c>
    </row>
    <row r="23" spans="1:171" ht="89.25" x14ac:dyDescent="0.2">
      <c r="A23" s="34" t="s">
        <v>947</v>
      </c>
      <c r="B23" s="7" t="s">
        <v>3700</v>
      </c>
      <c r="C23" s="7" t="s">
        <v>1934</v>
      </c>
      <c r="E23" s="7" t="s">
        <v>977</v>
      </c>
      <c r="G23" s="7">
        <v>30</v>
      </c>
      <c r="H23" s="7" t="s">
        <v>972</v>
      </c>
      <c r="I23" s="7" t="s">
        <v>2069</v>
      </c>
      <c r="J23" s="7" t="s">
        <v>972</v>
      </c>
      <c r="K23" s="7" t="s">
        <v>972</v>
      </c>
      <c r="L23" s="7">
        <v>5</v>
      </c>
      <c r="M23" s="7" t="s">
        <v>994</v>
      </c>
      <c r="N23" s="7" t="s">
        <v>2070</v>
      </c>
      <c r="O23" s="7" t="s">
        <v>972</v>
      </c>
      <c r="P23" s="7" t="s">
        <v>1950</v>
      </c>
      <c r="Q23" s="7" t="s">
        <v>1935</v>
      </c>
      <c r="S23" s="7" t="s">
        <v>976</v>
      </c>
      <c r="U23" s="7" t="s">
        <v>976</v>
      </c>
      <c r="W23" s="7" t="s">
        <v>1937</v>
      </c>
      <c r="Y23" s="7" t="s">
        <v>977</v>
      </c>
      <c r="AA23" s="7">
        <v>60</v>
      </c>
      <c r="AB23" s="7">
        <v>26</v>
      </c>
      <c r="AC23" s="7" t="s">
        <v>1942</v>
      </c>
      <c r="AD23" s="7" t="s">
        <v>2071</v>
      </c>
      <c r="AE23" s="7" t="s">
        <v>977</v>
      </c>
      <c r="AG23" s="7">
        <v>60</v>
      </c>
      <c r="AH23" s="7">
        <v>13</v>
      </c>
      <c r="AI23" s="7" t="s">
        <v>1934</v>
      </c>
      <c r="AK23" s="7" t="s">
        <v>977</v>
      </c>
      <c r="AM23" s="7">
        <v>60</v>
      </c>
      <c r="AN23" s="7">
        <v>10</v>
      </c>
      <c r="AO23" s="7" t="s">
        <v>1942</v>
      </c>
      <c r="AP23" s="7" t="s">
        <v>2071</v>
      </c>
      <c r="AQ23" s="7" t="s">
        <v>977</v>
      </c>
      <c r="AS23" s="7">
        <v>60</v>
      </c>
      <c r="AT23" s="7">
        <v>18</v>
      </c>
      <c r="AU23" s="7" t="s">
        <v>1942</v>
      </c>
      <c r="AV23" s="7" t="s">
        <v>2071</v>
      </c>
      <c r="AW23" s="7" t="s">
        <v>977</v>
      </c>
      <c r="AY23" s="7">
        <v>60</v>
      </c>
      <c r="AZ23" s="7">
        <v>18</v>
      </c>
      <c r="BA23" s="7" t="s">
        <v>1934</v>
      </c>
      <c r="BC23" s="7" t="s">
        <v>977</v>
      </c>
      <c r="BE23" s="7">
        <v>60</v>
      </c>
      <c r="BF23" s="7">
        <v>18</v>
      </c>
      <c r="BG23" s="7" t="s">
        <v>1934</v>
      </c>
      <c r="BI23" s="7" t="s">
        <v>977</v>
      </c>
      <c r="BK23" s="7" t="s">
        <v>3752</v>
      </c>
      <c r="BM23" s="7">
        <v>0</v>
      </c>
      <c r="BN23" s="7">
        <v>6</v>
      </c>
      <c r="BO23" s="7" t="s">
        <v>972</v>
      </c>
      <c r="BP23" s="7" t="s">
        <v>972</v>
      </c>
      <c r="BQ23" s="7" t="s">
        <v>2072</v>
      </c>
      <c r="BR23" s="7" t="s">
        <v>1934</v>
      </c>
      <c r="BT23" s="7" t="s">
        <v>977</v>
      </c>
      <c r="BV23" s="7" t="s">
        <v>972</v>
      </c>
      <c r="BW23" s="7">
        <v>0</v>
      </c>
      <c r="BX23" s="7" t="s">
        <v>2053</v>
      </c>
      <c r="BY23" s="7" t="s">
        <v>976</v>
      </c>
      <c r="CD23" s="7" t="s">
        <v>1934</v>
      </c>
      <c r="CF23" s="7" t="s">
        <v>977</v>
      </c>
      <c r="CH23" s="7">
        <v>0</v>
      </c>
      <c r="CI23" s="7">
        <v>0.6</v>
      </c>
      <c r="CJ23" s="7" t="s">
        <v>1934</v>
      </c>
      <c r="CL23" s="7" t="s">
        <v>977</v>
      </c>
      <c r="CN23" s="7" t="s">
        <v>976</v>
      </c>
      <c r="CO23" s="7">
        <v>0</v>
      </c>
      <c r="CP23" s="7" t="s">
        <v>2073</v>
      </c>
      <c r="CR23" s="7" t="s">
        <v>976</v>
      </c>
      <c r="CT23" s="7" t="s">
        <v>1959</v>
      </c>
      <c r="CU23" s="7" t="s">
        <v>1959</v>
      </c>
      <c r="CV23" s="7" t="s">
        <v>1959</v>
      </c>
      <c r="CW23" s="7" t="s">
        <v>1959</v>
      </c>
      <c r="CX23" s="7" t="s">
        <v>1959</v>
      </c>
      <c r="CY23" s="7" t="s">
        <v>1948</v>
      </c>
      <c r="CZ23" s="7" t="s">
        <v>1959</v>
      </c>
      <c r="DB23" s="7" t="s">
        <v>1948</v>
      </c>
      <c r="DD23" s="7" t="s">
        <v>1959</v>
      </c>
      <c r="DL23" s="7" t="s">
        <v>976</v>
      </c>
      <c r="DZ23" s="7" t="s">
        <v>1934</v>
      </c>
      <c r="EB23" s="7" t="s">
        <v>977</v>
      </c>
      <c r="ED23" s="7" t="s">
        <v>972</v>
      </c>
      <c r="EE23" s="7">
        <v>0</v>
      </c>
      <c r="EO23" s="7" t="s">
        <v>1934</v>
      </c>
      <c r="EQ23" s="7" t="s">
        <v>977</v>
      </c>
      <c r="ES23" s="7">
        <v>0</v>
      </c>
      <c r="ET23" s="7">
        <v>6</v>
      </c>
      <c r="EU23" s="7" t="s">
        <v>1934</v>
      </c>
      <c r="EW23" s="7" t="s">
        <v>977</v>
      </c>
      <c r="EY23" s="7" t="s">
        <v>2074</v>
      </c>
      <c r="EZ23" s="7" t="s">
        <v>1953</v>
      </c>
      <c r="FA23" s="7" t="s">
        <v>2044</v>
      </c>
      <c r="FN23" s="7" t="s">
        <v>2075</v>
      </c>
      <c r="FO23" s="7" t="s">
        <v>976</v>
      </c>
    </row>
    <row r="24" spans="1:171" ht="51" x14ac:dyDescent="0.2">
      <c r="A24" s="34" t="s">
        <v>937</v>
      </c>
      <c r="B24" s="7" t="s">
        <v>3882</v>
      </c>
      <c r="W24" s="7" t="s">
        <v>1937</v>
      </c>
      <c r="Y24" s="7" t="s">
        <v>977</v>
      </c>
      <c r="AA24" s="7">
        <v>0</v>
      </c>
      <c r="AB24" s="7">
        <v>26</v>
      </c>
      <c r="AC24" s="7" t="s">
        <v>1937</v>
      </c>
      <c r="AE24" s="7" t="s">
        <v>977</v>
      </c>
      <c r="AG24" s="7">
        <v>0</v>
      </c>
      <c r="AH24" s="7">
        <v>26</v>
      </c>
      <c r="AU24" s="7" t="s">
        <v>1937</v>
      </c>
      <c r="AW24" s="7" t="s">
        <v>977</v>
      </c>
      <c r="AY24" s="7">
        <v>0</v>
      </c>
      <c r="BA24" s="7" t="s">
        <v>1934</v>
      </c>
      <c r="BC24" s="7" t="s">
        <v>977</v>
      </c>
      <c r="BE24" s="7">
        <v>0</v>
      </c>
      <c r="BF24" s="7">
        <v>26</v>
      </c>
      <c r="BR24" s="7" t="s">
        <v>1934</v>
      </c>
      <c r="BT24" s="7" t="s">
        <v>977</v>
      </c>
      <c r="BV24" s="7" t="s">
        <v>972</v>
      </c>
      <c r="BW24" s="7">
        <v>0</v>
      </c>
      <c r="BX24" s="7" t="s">
        <v>2041</v>
      </c>
      <c r="BY24" s="7" t="s">
        <v>976</v>
      </c>
      <c r="CJ24" s="7" t="s">
        <v>1934</v>
      </c>
      <c r="CL24" s="7" t="s">
        <v>977</v>
      </c>
      <c r="CN24" s="7" t="s">
        <v>972</v>
      </c>
      <c r="CO24" s="7">
        <v>0</v>
      </c>
      <c r="CP24" s="7" t="s">
        <v>2012</v>
      </c>
      <c r="CR24" s="7" t="s">
        <v>976</v>
      </c>
      <c r="DL24" s="7" t="s">
        <v>976</v>
      </c>
      <c r="DT24" s="7" t="s">
        <v>1939</v>
      </c>
      <c r="DV24" s="7" t="s">
        <v>977</v>
      </c>
      <c r="DX24" s="7">
        <v>0</v>
      </c>
      <c r="DZ24" s="7" t="s">
        <v>1934</v>
      </c>
      <c r="EB24" s="7" t="s">
        <v>977</v>
      </c>
      <c r="ED24" s="7" t="s">
        <v>972</v>
      </c>
      <c r="EE24" s="7">
        <v>0</v>
      </c>
      <c r="EG24" s="7" t="s">
        <v>1934</v>
      </c>
      <c r="EI24" s="7" t="s">
        <v>977</v>
      </c>
      <c r="EK24" s="7">
        <v>0</v>
      </c>
      <c r="EL24" s="7" t="s">
        <v>2042</v>
      </c>
      <c r="EO24" s="7" t="s">
        <v>1934</v>
      </c>
      <c r="EQ24" s="7" t="s">
        <v>977</v>
      </c>
      <c r="ES24" s="7">
        <v>0</v>
      </c>
      <c r="ET24" s="7">
        <v>16</v>
      </c>
      <c r="EU24" s="7" t="s">
        <v>1934</v>
      </c>
      <c r="EW24" s="7" t="s">
        <v>977</v>
      </c>
      <c r="EY24" s="7" t="s">
        <v>2043</v>
      </c>
      <c r="EZ24" s="7" t="s">
        <v>2043</v>
      </c>
      <c r="FA24" s="7" t="s">
        <v>2044</v>
      </c>
      <c r="FC24" s="7" t="s">
        <v>977</v>
      </c>
      <c r="FE24" s="7">
        <v>90</v>
      </c>
      <c r="FO24" s="7" t="s">
        <v>976</v>
      </c>
    </row>
    <row r="25" spans="1:171" ht="51" x14ac:dyDescent="0.2">
      <c r="A25" s="34" t="s">
        <v>949</v>
      </c>
      <c r="B25" s="7" t="s">
        <v>3709</v>
      </c>
      <c r="C25" s="7" t="s">
        <v>1934</v>
      </c>
      <c r="E25" s="7" t="s">
        <v>977</v>
      </c>
      <c r="G25" s="7">
        <v>0</v>
      </c>
      <c r="H25" s="7" t="s">
        <v>976</v>
      </c>
      <c r="I25" s="7" t="s">
        <v>2085</v>
      </c>
      <c r="J25" s="7" t="s">
        <v>976</v>
      </c>
      <c r="S25" s="7" t="s">
        <v>976</v>
      </c>
      <c r="U25" s="7" t="s">
        <v>976</v>
      </c>
      <c r="W25" s="7" t="s">
        <v>1937</v>
      </c>
      <c r="Y25" s="7" t="s">
        <v>977</v>
      </c>
      <c r="AA25" s="7">
        <v>90</v>
      </c>
      <c r="AB25" s="7">
        <v>26</v>
      </c>
      <c r="AC25" s="7" t="s">
        <v>1937</v>
      </c>
      <c r="AE25" s="7" t="s">
        <v>977</v>
      </c>
      <c r="AG25" s="7">
        <v>30</v>
      </c>
      <c r="AH25" s="7">
        <v>26</v>
      </c>
      <c r="AI25" s="7" t="s">
        <v>1934</v>
      </c>
      <c r="AK25" s="7" t="s">
        <v>977</v>
      </c>
      <c r="AM25" s="7">
        <v>30</v>
      </c>
      <c r="AN25" s="7">
        <v>12</v>
      </c>
      <c r="AO25" s="7" t="s">
        <v>1937</v>
      </c>
      <c r="AQ25" s="7" t="s">
        <v>977</v>
      </c>
      <c r="AS25" s="7">
        <v>30</v>
      </c>
      <c r="AT25" s="7">
        <v>26</v>
      </c>
      <c r="AU25" s="7" t="s">
        <v>1937</v>
      </c>
      <c r="AW25" s="7" t="s">
        <v>977</v>
      </c>
      <c r="AY25" s="7">
        <v>30</v>
      </c>
      <c r="AZ25" s="7">
        <v>26</v>
      </c>
      <c r="BA25" s="7" t="s">
        <v>1934</v>
      </c>
      <c r="BC25" s="7" t="s">
        <v>977</v>
      </c>
      <c r="BE25" s="7">
        <v>30</v>
      </c>
      <c r="BF25" s="7">
        <v>26</v>
      </c>
      <c r="BG25" s="7" t="s">
        <v>1934</v>
      </c>
      <c r="BI25" s="7" t="s">
        <v>977</v>
      </c>
      <c r="BK25" s="7" t="s">
        <v>3753</v>
      </c>
      <c r="BM25" s="7">
        <v>0</v>
      </c>
      <c r="BN25" s="7">
        <v>1.5</v>
      </c>
      <c r="BO25" s="7" t="s">
        <v>976</v>
      </c>
      <c r="BP25" s="7" t="s">
        <v>972</v>
      </c>
      <c r="BQ25" s="7" t="s">
        <v>2086</v>
      </c>
      <c r="BR25" s="7" t="s">
        <v>1934</v>
      </c>
      <c r="BT25" s="7" t="s">
        <v>977</v>
      </c>
      <c r="BV25" s="7" t="s">
        <v>972</v>
      </c>
      <c r="BW25" s="7">
        <v>0</v>
      </c>
      <c r="BX25" s="7">
        <v>90</v>
      </c>
      <c r="BY25" s="7" t="s">
        <v>972</v>
      </c>
      <c r="BZ25" s="7" t="s">
        <v>976</v>
      </c>
      <c r="CJ25" s="7" t="s">
        <v>1934</v>
      </c>
      <c r="CL25" s="7" t="s">
        <v>977</v>
      </c>
      <c r="CN25" s="7" t="s">
        <v>976</v>
      </c>
      <c r="CO25" s="7">
        <v>0</v>
      </c>
      <c r="CP25" s="7" t="s">
        <v>2087</v>
      </c>
      <c r="CR25" s="7" t="s">
        <v>972</v>
      </c>
      <c r="CS25" s="7" t="s">
        <v>1959</v>
      </c>
      <c r="DL25" s="7" t="s">
        <v>976</v>
      </c>
      <c r="DT25" s="7" t="s">
        <v>1934</v>
      </c>
      <c r="DV25" s="7" t="s">
        <v>977</v>
      </c>
      <c r="DX25" s="7">
        <v>0</v>
      </c>
      <c r="DY25" s="7">
        <v>2</v>
      </c>
      <c r="DZ25" s="7" t="s">
        <v>1934</v>
      </c>
      <c r="EB25" s="7" t="s">
        <v>977</v>
      </c>
      <c r="ED25" s="7" t="s">
        <v>972</v>
      </c>
      <c r="EE25" s="7">
        <v>0</v>
      </c>
      <c r="EF25" s="7">
        <v>5</v>
      </c>
      <c r="EG25" s="7" t="s">
        <v>1934</v>
      </c>
      <c r="EI25" s="7" t="s">
        <v>977</v>
      </c>
      <c r="EK25" s="7">
        <v>90</v>
      </c>
      <c r="EL25" s="7" t="s">
        <v>1964</v>
      </c>
      <c r="EN25" s="7">
        <v>20</v>
      </c>
      <c r="EO25" s="7" t="s">
        <v>1939</v>
      </c>
      <c r="EQ25" s="7" t="s">
        <v>977</v>
      </c>
      <c r="ES25" s="7">
        <v>0</v>
      </c>
      <c r="ET25" s="7">
        <v>10</v>
      </c>
      <c r="EU25" s="7" t="s">
        <v>1934</v>
      </c>
      <c r="EW25" s="7" t="s">
        <v>977</v>
      </c>
      <c r="EY25" s="7" t="s">
        <v>1339</v>
      </c>
      <c r="EZ25" s="7" t="s">
        <v>2088</v>
      </c>
      <c r="FA25" s="7" t="s">
        <v>2044</v>
      </c>
      <c r="FC25" s="7" t="s">
        <v>977</v>
      </c>
      <c r="FE25" s="7">
        <v>0</v>
      </c>
      <c r="FF25" s="7">
        <v>28</v>
      </c>
      <c r="FO25" s="7" t="s">
        <v>976</v>
      </c>
    </row>
    <row r="26" spans="1:171" ht="51" x14ac:dyDescent="0.2">
      <c r="A26" s="34" t="s">
        <v>963</v>
      </c>
      <c r="B26" s="7" t="s">
        <v>3705</v>
      </c>
      <c r="C26" s="7" t="s">
        <v>1934</v>
      </c>
      <c r="E26" s="7" t="s">
        <v>977</v>
      </c>
      <c r="G26" s="7">
        <v>1</v>
      </c>
      <c r="H26" s="7" t="s">
        <v>976</v>
      </c>
      <c r="I26" s="7" t="s">
        <v>2134</v>
      </c>
      <c r="J26" s="7" t="s">
        <v>972</v>
      </c>
      <c r="K26" s="7" t="s">
        <v>972</v>
      </c>
      <c r="L26" s="7">
        <v>5</v>
      </c>
      <c r="M26" s="7" t="s">
        <v>1935</v>
      </c>
      <c r="O26" s="7" t="s">
        <v>972</v>
      </c>
      <c r="P26" s="7" t="s">
        <v>1936</v>
      </c>
      <c r="Q26" s="7" t="s">
        <v>1935</v>
      </c>
      <c r="S26" s="7" t="s">
        <v>976</v>
      </c>
      <c r="U26" s="7" t="s">
        <v>976</v>
      </c>
      <c r="W26" s="7" t="s">
        <v>1942</v>
      </c>
      <c r="X26" s="7" t="s">
        <v>2135</v>
      </c>
      <c r="Y26" s="7" t="s">
        <v>977</v>
      </c>
      <c r="AA26" s="7">
        <v>0</v>
      </c>
      <c r="AB26" s="7">
        <v>26</v>
      </c>
      <c r="AC26" s="7" t="s">
        <v>1942</v>
      </c>
      <c r="AD26" s="7" t="s">
        <v>2136</v>
      </c>
      <c r="AE26" s="7" t="s">
        <v>977</v>
      </c>
      <c r="AG26" s="7">
        <v>0</v>
      </c>
      <c r="AH26" s="7">
        <v>26</v>
      </c>
      <c r="AI26" s="7" t="s">
        <v>1934</v>
      </c>
      <c r="AK26" s="7" t="s">
        <v>977</v>
      </c>
      <c r="AM26" s="7">
        <v>365</v>
      </c>
      <c r="AN26" s="7">
        <v>2</v>
      </c>
      <c r="AO26" s="7" t="s">
        <v>1942</v>
      </c>
      <c r="AP26" s="7" t="s">
        <v>2137</v>
      </c>
      <c r="AQ26" s="7" t="s">
        <v>977</v>
      </c>
      <c r="AS26" s="7">
        <v>183</v>
      </c>
      <c r="AT26" s="7">
        <v>52</v>
      </c>
      <c r="BA26" s="7" t="s">
        <v>994</v>
      </c>
      <c r="BB26" s="7" t="s">
        <v>2138</v>
      </c>
      <c r="BC26" s="7" t="s">
        <v>977</v>
      </c>
      <c r="BE26" s="7">
        <v>183</v>
      </c>
      <c r="BF26" s="7">
        <v>52</v>
      </c>
      <c r="BR26" s="7" t="s">
        <v>1934</v>
      </c>
      <c r="BT26" s="7" t="s">
        <v>977</v>
      </c>
      <c r="BV26" s="7" t="s">
        <v>972</v>
      </c>
      <c r="BW26" s="7">
        <v>0</v>
      </c>
      <c r="BX26" s="7">
        <v>183</v>
      </c>
      <c r="BY26" s="7" t="s">
        <v>976</v>
      </c>
      <c r="CJ26" s="7" t="s">
        <v>1934</v>
      </c>
      <c r="CL26" s="7" t="s">
        <v>977</v>
      </c>
      <c r="CN26" s="7" t="s">
        <v>976</v>
      </c>
      <c r="CO26" s="7">
        <v>0</v>
      </c>
      <c r="CP26" s="7" t="s">
        <v>3782</v>
      </c>
      <c r="CR26" s="7" t="s">
        <v>972</v>
      </c>
      <c r="CS26" s="7" t="s">
        <v>1948</v>
      </c>
      <c r="DL26" s="7" t="s">
        <v>976</v>
      </c>
      <c r="DZ26" s="7" t="s">
        <v>1934</v>
      </c>
      <c r="EB26" s="7" t="s">
        <v>977</v>
      </c>
      <c r="ED26" s="7" t="s">
        <v>972</v>
      </c>
      <c r="EE26" s="7">
        <v>0</v>
      </c>
      <c r="EO26" s="7" t="s">
        <v>1934</v>
      </c>
      <c r="EQ26" s="7" t="s">
        <v>977</v>
      </c>
      <c r="ES26" s="7">
        <v>0</v>
      </c>
      <c r="ET26" s="7">
        <v>6.5</v>
      </c>
      <c r="FC26" s="7" t="s">
        <v>977</v>
      </c>
      <c r="FE26" s="7">
        <v>0</v>
      </c>
      <c r="FF26" s="7">
        <v>2</v>
      </c>
      <c r="FN26" s="7" t="s">
        <v>2139</v>
      </c>
      <c r="FO26" s="7" t="s">
        <v>976</v>
      </c>
    </row>
    <row r="27" spans="1:171" ht="51" x14ac:dyDescent="0.2">
      <c r="A27" s="34" t="s">
        <v>913</v>
      </c>
      <c r="B27" s="7" t="s">
        <v>3714</v>
      </c>
      <c r="W27" s="7" t="s">
        <v>1942</v>
      </c>
      <c r="X27" s="7" t="s">
        <v>1944</v>
      </c>
      <c r="Y27" s="7" t="s">
        <v>977</v>
      </c>
      <c r="AA27" s="7">
        <v>0</v>
      </c>
      <c r="AB27" s="7">
        <v>52</v>
      </c>
      <c r="AC27" s="7" t="s">
        <v>1938</v>
      </c>
      <c r="AE27" s="7" t="s">
        <v>977</v>
      </c>
      <c r="AG27" s="7">
        <v>0</v>
      </c>
      <c r="AH27" s="7">
        <v>26</v>
      </c>
      <c r="AI27" s="7" t="s">
        <v>1934</v>
      </c>
      <c r="AK27" s="7" t="s">
        <v>977</v>
      </c>
      <c r="AM27" s="7">
        <v>0</v>
      </c>
      <c r="AN27" s="7">
        <v>2</v>
      </c>
      <c r="BA27" s="7" t="s">
        <v>1934</v>
      </c>
      <c r="BC27" s="7" t="s">
        <v>977</v>
      </c>
      <c r="BE27" s="7">
        <v>0</v>
      </c>
      <c r="BF27" s="7">
        <v>18</v>
      </c>
      <c r="CD27" s="7" t="s">
        <v>1934</v>
      </c>
      <c r="CF27" s="7" t="s">
        <v>977</v>
      </c>
      <c r="CH27" s="7">
        <v>0</v>
      </c>
      <c r="CI27" s="7">
        <v>0.2</v>
      </c>
      <c r="CJ27" s="7" t="s">
        <v>1934</v>
      </c>
      <c r="CL27" s="7" t="s">
        <v>977</v>
      </c>
      <c r="CN27" s="7" t="s">
        <v>976</v>
      </c>
      <c r="CO27" s="7">
        <v>0</v>
      </c>
      <c r="CP27" s="7" t="s">
        <v>3759</v>
      </c>
      <c r="CR27" s="7" t="s">
        <v>972</v>
      </c>
      <c r="CS27" s="7" t="s">
        <v>1945</v>
      </c>
      <c r="DL27" s="7" t="s">
        <v>976</v>
      </c>
      <c r="FO27" s="7" t="s">
        <v>976</v>
      </c>
    </row>
    <row r="28" spans="1:171" ht="51" x14ac:dyDescent="0.2">
      <c r="A28" s="34" t="s">
        <v>931</v>
      </c>
      <c r="B28" s="7" t="s">
        <v>3731</v>
      </c>
      <c r="C28" s="7" t="s">
        <v>1934</v>
      </c>
      <c r="E28" s="7" t="s">
        <v>977</v>
      </c>
      <c r="G28" s="7">
        <v>0</v>
      </c>
      <c r="H28" s="7" t="s">
        <v>972</v>
      </c>
      <c r="I28" s="7">
        <v>5</v>
      </c>
      <c r="J28" s="7" t="s">
        <v>972</v>
      </c>
      <c r="K28" s="7" t="s">
        <v>972</v>
      </c>
      <c r="L28" s="7">
        <v>5</v>
      </c>
      <c r="M28" s="7" t="s">
        <v>1935</v>
      </c>
      <c r="O28" s="7" t="s">
        <v>972</v>
      </c>
      <c r="P28" s="7" t="s">
        <v>2013</v>
      </c>
      <c r="Q28" s="7" t="s">
        <v>1935</v>
      </c>
      <c r="S28" s="7" t="s">
        <v>972</v>
      </c>
      <c r="T28" s="7">
        <v>5</v>
      </c>
      <c r="U28" s="7" t="s">
        <v>972</v>
      </c>
      <c r="V28" s="7">
        <v>5</v>
      </c>
      <c r="W28" s="7" t="s">
        <v>1937</v>
      </c>
      <c r="Y28" s="7" t="s">
        <v>977</v>
      </c>
      <c r="AA28" s="7">
        <v>180</v>
      </c>
      <c r="AB28" s="7">
        <v>39</v>
      </c>
      <c r="AC28" s="7" t="s">
        <v>1942</v>
      </c>
      <c r="AD28" s="9">
        <v>0.5</v>
      </c>
      <c r="AE28" s="7" t="s">
        <v>977</v>
      </c>
      <c r="AG28" s="7">
        <v>180</v>
      </c>
      <c r="AH28" s="7">
        <v>13</v>
      </c>
      <c r="AI28" s="7" t="s">
        <v>1934</v>
      </c>
      <c r="AK28" s="7" t="s">
        <v>977</v>
      </c>
      <c r="AM28" s="7">
        <v>0</v>
      </c>
      <c r="AN28" s="7">
        <v>2</v>
      </c>
      <c r="AO28" s="7" t="s">
        <v>1937</v>
      </c>
      <c r="AQ28" s="7" t="s">
        <v>977</v>
      </c>
      <c r="AS28" s="7">
        <v>180</v>
      </c>
      <c r="AT28" s="7">
        <v>50</v>
      </c>
      <c r="AU28" s="7" t="s">
        <v>1938</v>
      </c>
      <c r="AW28" s="7" t="s">
        <v>977</v>
      </c>
      <c r="AY28" s="7">
        <v>0</v>
      </c>
      <c r="AZ28" s="7">
        <v>4</v>
      </c>
      <c r="BA28" s="7" t="s">
        <v>994</v>
      </c>
      <c r="BB28" s="7" t="s">
        <v>2014</v>
      </c>
      <c r="BC28" s="7" t="s">
        <v>977</v>
      </c>
      <c r="BE28" s="7">
        <v>0</v>
      </c>
      <c r="BF28" s="7">
        <v>52</v>
      </c>
      <c r="BR28" s="7" t="s">
        <v>1934</v>
      </c>
      <c r="BT28" s="7" t="s">
        <v>977</v>
      </c>
      <c r="BV28" s="7" t="s">
        <v>972</v>
      </c>
      <c r="BW28" s="7">
        <v>0</v>
      </c>
      <c r="BX28" s="7">
        <v>26</v>
      </c>
      <c r="BY28" s="7" t="s">
        <v>976</v>
      </c>
      <c r="CJ28" s="7" t="s">
        <v>1934</v>
      </c>
      <c r="CL28" s="7" t="s">
        <v>977</v>
      </c>
      <c r="CN28" s="7" t="s">
        <v>976</v>
      </c>
      <c r="CO28" s="7">
        <v>0</v>
      </c>
      <c r="CP28" s="7" t="s">
        <v>3781</v>
      </c>
      <c r="CR28" s="7" t="s">
        <v>976</v>
      </c>
      <c r="CT28" s="7" t="s">
        <v>2015</v>
      </c>
      <c r="CU28" s="7" t="s">
        <v>2015</v>
      </c>
      <c r="CV28" s="7" t="s">
        <v>2015</v>
      </c>
      <c r="CW28" s="7" t="s">
        <v>2015</v>
      </c>
      <c r="CX28" s="7" t="s">
        <v>2015</v>
      </c>
      <c r="CY28" s="7" t="s">
        <v>1948</v>
      </c>
      <c r="CZ28" s="7" t="s">
        <v>2015</v>
      </c>
      <c r="DA28" s="7" t="s">
        <v>2015</v>
      </c>
      <c r="DB28" s="7" t="s">
        <v>1948</v>
      </c>
      <c r="DC28" s="7" t="s">
        <v>1948</v>
      </c>
      <c r="DD28" s="7" t="s">
        <v>2015</v>
      </c>
      <c r="DE28" s="7" t="s">
        <v>2015</v>
      </c>
      <c r="DF28" s="7" t="s">
        <v>1948</v>
      </c>
      <c r="DG28" s="7" t="s">
        <v>1948</v>
      </c>
      <c r="DH28" s="7" t="s">
        <v>1948</v>
      </c>
      <c r="DL28" s="7" t="s">
        <v>976</v>
      </c>
      <c r="DZ28" s="7" t="s">
        <v>1934</v>
      </c>
      <c r="EB28" s="7" t="s">
        <v>977</v>
      </c>
      <c r="ED28" s="7" t="s">
        <v>976</v>
      </c>
      <c r="EE28" s="7">
        <v>0</v>
      </c>
      <c r="EF28" s="7">
        <v>10</v>
      </c>
      <c r="FG28" s="7" t="s">
        <v>2016</v>
      </c>
      <c r="FH28" s="7" t="s">
        <v>1934</v>
      </c>
      <c r="FJ28" s="7" t="s">
        <v>977</v>
      </c>
      <c r="FL28" s="7">
        <v>0</v>
      </c>
      <c r="FM28" s="7">
        <v>0.4</v>
      </c>
      <c r="FO28" s="7" t="s">
        <v>976</v>
      </c>
    </row>
    <row r="29" spans="1:171" ht="51" x14ac:dyDescent="0.2">
      <c r="A29" s="34" t="s">
        <v>966</v>
      </c>
      <c r="B29" s="7" t="s">
        <v>3736</v>
      </c>
      <c r="W29" s="7" t="s">
        <v>1937</v>
      </c>
      <c r="Y29" s="7" t="s">
        <v>977</v>
      </c>
      <c r="AA29" s="7">
        <v>0</v>
      </c>
      <c r="AB29" s="7">
        <v>26</v>
      </c>
      <c r="AC29" s="7" t="s">
        <v>1937</v>
      </c>
      <c r="AE29" s="7" t="s">
        <v>977</v>
      </c>
      <c r="AG29" s="7">
        <v>0</v>
      </c>
      <c r="AH29" s="7">
        <v>26</v>
      </c>
      <c r="AO29" s="7" t="s">
        <v>1938</v>
      </c>
      <c r="AQ29" s="7" t="s">
        <v>977</v>
      </c>
      <c r="AS29" s="7">
        <v>0</v>
      </c>
      <c r="AT29" s="7">
        <v>37</v>
      </c>
      <c r="AU29" s="7" t="s">
        <v>1938</v>
      </c>
      <c r="AW29" s="7" t="s">
        <v>977</v>
      </c>
      <c r="AY29" s="7">
        <v>0</v>
      </c>
      <c r="AZ29" s="7">
        <v>18</v>
      </c>
      <c r="BA29" s="7" t="s">
        <v>1934</v>
      </c>
      <c r="BC29" s="7" t="s">
        <v>977</v>
      </c>
      <c r="BE29" s="7">
        <v>182</v>
      </c>
      <c r="BF29" s="7">
        <v>26</v>
      </c>
      <c r="BR29" s="7" t="s">
        <v>1934</v>
      </c>
      <c r="BT29" s="7" t="s">
        <v>977</v>
      </c>
      <c r="BV29" s="7" t="s">
        <v>972</v>
      </c>
      <c r="BW29" s="7">
        <v>90</v>
      </c>
      <c r="BX29" s="7">
        <v>16</v>
      </c>
      <c r="BY29" s="7" t="s">
        <v>976</v>
      </c>
      <c r="CJ29" s="7" t="s">
        <v>1934</v>
      </c>
      <c r="CL29" s="7" t="s">
        <v>977</v>
      </c>
      <c r="CN29" s="7" t="s">
        <v>976</v>
      </c>
      <c r="CO29" s="7">
        <v>0</v>
      </c>
      <c r="CP29" s="7" t="s">
        <v>3793</v>
      </c>
      <c r="CR29" s="7" t="s">
        <v>972</v>
      </c>
      <c r="CS29" s="7" t="s">
        <v>1948</v>
      </c>
      <c r="DL29" s="7" t="s">
        <v>976</v>
      </c>
      <c r="DZ29" s="7" t="s">
        <v>1939</v>
      </c>
      <c r="EB29" s="7" t="s">
        <v>977</v>
      </c>
      <c r="ED29" s="7" t="s">
        <v>972</v>
      </c>
      <c r="EE29" s="7">
        <v>0</v>
      </c>
      <c r="EF29" s="7">
        <v>1</v>
      </c>
      <c r="FO29" s="7" t="s">
        <v>976</v>
      </c>
    </row>
    <row r="30" spans="1:171" ht="51" x14ac:dyDescent="0.2">
      <c r="A30" s="34" t="s">
        <v>917</v>
      </c>
      <c r="B30" s="7" t="s">
        <v>3718</v>
      </c>
      <c r="C30" s="7" t="s">
        <v>1934</v>
      </c>
      <c r="E30" s="7" t="s">
        <v>977</v>
      </c>
      <c r="G30" s="7">
        <v>0</v>
      </c>
      <c r="H30" s="7" t="s">
        <v>972</v>
      </c>
      <c r="I30" s="7" t="s">
        <v>1960</v>
      </c>
      <c r="J30" s="7" t="s">
        <v>972</v>
      </c>
      <c r="K30" s="7" t="s">
        <v>972</v>
      </c>
      <c r="L30" s="7">
        <v>5</v>
      </c>
      <c r="M30" s="7" t="s">
        <v>1935</v>
      </c>
      <c r="O30" s="7" t="s">
        <v>976</v>
      </c>
      <c r="S30" s="7" t="s">
        <v>972</v>
      </c>
      <c r="T30" s="7">
        <v>5</v>
      </c>
      <c r="U30" s="7" t="s">
        <v>976</v>
      </c>
      <c r="W30" s="7" t="s">
        <v>1937</v>
      </c>
      <c r="Y30" s="7" t="s">
        <v>977</v>
      </c>
      <c r="AA30" s="7">
        <v>0</v>
      </c>
      <c r="AB30" s="7">
        <v>52</v>
      </c>
      <c r="AC30" s="7" t="s">
        <v>1942</v>
      </c>
      <c r="AD30" s="7" t="s">
        <v>1961</v>
      </c>
      <c r="AE30" s="7" t="s">
        <v>977</v>
      </c>
      <c r="AG30" s="7">
        <v>0</v>
      </c>
      <c r="AH30" s="7">
        <v>34</v>
      </c>
      <c r="AO30" s="7" t="s">
        <v>1937</v>
      </c>
      <c r="AQ30" s="7" t="s">
        <v>977</v>
      </c>
      <c r="AS30" s="7">
        <v>0</v>
      </c>
      <c r="AT30" s="7">
        <v>12</v>
      </c>
      <c r="AU30" s="7" t="s">
        <v>1937</v>
      </c>
      <c r="AW30" s="7" t="s">
        <v>977</v>
      </c>
      <c r="AY30" s="7">
        <v>0</v>
      </c>
      <c r="AZ30" s="7">
        <v>18</v>
      </c>
      <c r="BA30" s="7" t="s">
        <v>1934</v>
      </c>
      <c r="BC30" s="7" t="s">
        <v>977</v>
      </c>
      <c r="BE30" s="7">
        <v>0</v>
      </c>
      <c r="BF30" s="7">
        <v>18</v>
      </c>
      <c r="BR30" s="7" t="s">
        <v>1934</v>
      </c>
      <c r="BT30" s="7" t="s">
        <v>977</v>
      </c>
      <c r="BV30" s="7" t="s">
        <v>972</v>
      </c>
      <c r="BW30" s="7">
        <v>0</v>
      </c>
      <c r="BX30" s="7" t="s">
        <v>1962</v>
      </c>
      <c r="BY30" s="7" t="s">
        <v>976</v>
      </c>
      <c r="CD30" s="7" t="s">
        <v>1934</v>
      </c>
      <c r="CF30" s="7" t="s">
        <v>977</v>
      </c>
      <c r="CH30" s="7">
        <v>2</v>
      </c>
      <c r="CI30" s="7">
        <v>0.2</v>
      </c>
      <c r="CJ30" s="7" t="s">
        <v>1934</v>
      </c>
      <c r="CL30" s="7" t="s">
        <v>977</v>
      </c>
      <c r="CN30" s="7" t="s">
        <v>976</v>
      </c>
      <c r="CO30" s="7">
        <v>2</v>
      </c>
      <c r="CP30" s="7" t="s">
        <v>3787</v>
      </c>
      <c r="CR30" s="7" t="s">
        <v>976</v>
      </c>
      <c r="CT30" s="7" t="s">
        <v>1948</v>
      </c>
      <c r="CU30" s="7" t="s">
        <v>1948</v>
      </c>
      <c r="CV30" s="7" t="s">
        <v>1948</v>
      </c>
      <c r="CW30" s="7" t="s">
        <v>1948</v>
      </c>
      <c r="CX30" s="7" t="s">
        <v>1948</v>
      </c>
      <c r="CY30" s="7" t="s">
        <v>1963</v>
      </c>
      <c r="CZ30" s="7" t="s">
        <v>1963</v>
      </c>
      <c r="DA30" s="7" t="s">
        <v>1963</v>
      </c>
      <c r="DB30" s="7" t="s">
        <v>1963</v>
      </c>
      <c r="DD30" s="7" t="s">
        <v>1963</v>
      </c>
      <c r="DE30" s="7" t="s">
        <v>1963</v>
      </c>
      <c r="DF30" s="7" t="s">
        <v>1963</v>
      </c>
      <c r="DG30" s="7" t="s">
        <v>1963</v>
      </c>
      <c r="DL30" s="7" t="s">
        <v>972</v>
      </c>
      <c r="DM30" s="7" t="s">
        <v>1941</v>
      </c>
      <c r="DT30" s="7" t="s">
        <v>1934</v>
      </c>
      <c r="DV30" s="7" t="s">
        <v>977</v>
      </c>
      <c r="DX30" s="7">
        <v>0</v>
      </c>
      <c r="DY30" s="7">
        <v>1</v>
      </c>
      <c r="DZ30" s="7" t="s">
        <v>1934</v>
      </c>
      <c r="EB30" s="7" t="s">
        <v>977</v>
      </c>
      <c r="ED30" s="7" t="s">
        <v>972</v>
      </c>
      <c r="EE30" s="7">
        <v>0</v>
      </c>
      <c r="EG30" s="7" t="s">
        <v>1934</v>
      </c>
      <c r="EI30" s="7" t="s">
        <v>977</v>
      </c>
      <c r="EK30" s="7">
        <v>0</v>
      </c>
      <c r="EL30" s="7" t="s">
        <v>1964</v>
      </c>
      <c r="EN30" s="7">
        <v>1</v>
      </c>
      <c r="EO30" s="7" t="s">
        <v>1934</v>
      </c>
      <c r="EQ30" s="7" t="s">
        <v>977</v>
      </c>
      <c r="ES30" s="7">
        <v>0</v>
      </c>
      <c r="ET30" s="7">
        <v>2</v>
      </c>
      <c r="EU30" s="7" t="s">
        <v>1939</v>
      </c>
      <c r="EW30" s="7" t="s">
        <v>977</v>
      </c>
      <c r="EY30" s="7" t="s">
        <v>1965</v>
      </c>
      <c r="EZ30" s="7" t="s">
        <v>1966</v>
      </c>
      <c r="FA30" s="7" t="s">
        <v>1967</v>
      </c>
      <c r="FB30" s="7" t="s">
        <v>1968</v>
      </c>
      <c r="FC30" s="7" t="s">
        <v>977</v>
      </c>
      <c r="FE30" s="7">
        <v>0</v>
      </c>
      <c r="FF30" s="7">
        <v>52</v>
      </c>
      <c r="FO30" s="7" t="s">
        <v>976</v>
      </c>
    </row>
    <row r="31" spans="1:171" ht="63.75" x14ac:dyDescent="0.2">
      <c r="A31" s="34" t="s">
        <v>923</v>
      </c>
      <c r="B31" s="7" t="s">
        <v>3732</v>
      </c>
      <c r="C31" s="7" t="s">
        <v>1934</v>
      </c>
      <c r="E31" s="7" t="s">
        <v>977</v>
      </c>
      <c r="G31" s="7">
        <v>0</v>
      </c>
      <c r="H31" s="7" t="s">
        <v>972</v>
      </c>
      <c r="I31" s="7">
        <v>5</v>
      </c>
      <c r="J31" s="7" t="s">
        <v>972</v>
      </c>
      <c r="K31" s="7" t="s">
        <v>972</v>
      </c>
      <c r="L31" s="7">
        <v>5</v>
      </c>
      <c r="M31" s="7" t="s">
        <v>1935</v>
      </c>
      <c r="O31" s="7" t="s">
        <v>972</v>
      </c>
      <c r="P31" s="7" t="s">
        <v>1950</v>
      </c>
      <c r="Q31" s="7" t="s">
        <v>1935</v>
      </c>
      <c r="S31" s="7" t="s">
        <v>972</v>
      </c>
      <c r="T31" s="7">
        <v>5</v>
      </c>
      <c r="U31" s="7" t="s">
        <v>972</v>
      </c>
      <c r="V31" s="7">
        <v>5</v>
      </c>
      <c r="W31" s="7" t="s">
        <v>1937</v>
      </c>
      <c r="Y31" s="7" t="s">
        <v>977</v>
      </c>
      <c r="AA31" s="7">
        <v>0</v>
      </c>
      <c r="AB31" s="7">
        <v>26</v>
      </c>
      <c r="AC31" s="7" t="s">
        <v>1938</v>
      </c>
      <c r="AE31" s="7" t="s">
        <v>990</v>
      </c>
      <c r="AF31" s="7" t="s">
        <v>1991</v>
      </c>
      <c r="AI31" s="7" t="s">
        <v>1934</v>
      </c>
      <c r="AK31" s="7" t="s">
        <v>977</v>
      </c>
      <c r="AM31" s="7">
        <v>181</v>
      </c>
      <c r="AN31" s="7">
        <v>10</v>
      </c>
      <c r="AO31" s="7" t="s">
        <v>1942</v>
      </c>
      <c r="AP31" s="7" t="s">
        <v>1992</v>
      </c>
      <c r="AQ31" s="7" t="s">
        <v>977</v>
      </c>
      <c r="AS31" s="7">
        <v>0</v>
      </c>
      <c r="AT31" s="7">
        <v>50</v>
      </c>
      <c r="AU31" s="7" t="s">
        <v>1938</v>
      </c>
      <c r="AW31" s="7" t="s">
        <v>977</v>
      </c>
      <c r="AY31" s="7">
        <v>0</v>
      </c>
      <c r="AZ31" s="7">
        <v>18</v>
      </c>
      <c r="BA31" s="7" t="s">
        <v>1934</v>
      </c>
      <c r="BC31" s="7" t="s">
        <v>977</v>
      </c>
      <c r="BE31" s="7">
        <v>181</v>
      </c>
      <c r="BF31" s="7">
        <v>39</v>
      </c>
      <c r="BG31" s="7" t="s">
        <v>1934</v>
      </c>
      <c r="BI31" s="7" t="s">
        <v>977</v>
      </c>
      <c r="BK31" s="7" t="s">
        <v>3761</v>
      </c>
      <c r="BM31" s="7">
        <v>0</v>
      </c>
      <c r="BN31" s="7">
        <v>6</v>
      </c>
      <c r="BO31" s="7" t="s">
        <v>972</v>
      </c>
      <c r="BP31" s="7" t="s">
        <v>972</v>
      </c>
      <c r="BQ31" s="7" t="s">
        <v>1993</v>
      </c>
      <c r="BR31" s="7" t="s">
        <v>1934</v>
      </c>
      <c r="BT31" s="7" t="s">
        <v>977</v>
      </c>
      <c r="BV31" s="7" t="s">
        <v>972</v>
      </c>
      <c r="BW31" s="7">
        <v>0</v>
      </c>
      <c r="BX31" s="7" t="s">
        <v>1957</v>
      </c>
      <c r="BY31" s="7" t="s">
        <v>976</v>
      </c>
      <c r="CD31" s="7" t="s">
        <v>1934</v>
      </c>
      <c r="CF31" s="7" t="s">
        <v>977</v>
      </c>
      <c r="CH31" s="7">
        <v>0</v>
      </c>
      <c r="CI31" s="7">
        <v>0.28000000000000003</v>
      </c>
      <c r="CJ31" s="7" t="s">
        <v>1934</v>
      </c>
      <c r="CL31" s="7" t="s">
        <v>977</v>
      </c>
      <c r="CN31" s="7" t="s">
        <v>976</v>
      </c>
      <c r="CO31" s="7">
        <v>0</v>
      </c>
      <c r="CP31" s="7" t="s">
        <v>3784</v>
      </c>
      <c r="CR31" s="7" t="s">
        <v>972</v>
      </c>
      <c r="CS31" s="7" t="s">
        <v>1954</v>
      </c>
      <c r="DL31" s="7" t="s">
        <v>976</v>
      </c>
      <c r="DZ31" s="7" t="s">
        <v>1934</v>
      </c>
      <c r="EB31" s="7" t="s">
        <v>977</v>
      </c>
      <c r="ED31" s="7" t="s">
        <v>972</v>
      </c>
      <c r="EE31" s="7">
        <v>0</v>
      </c>
      <c r="EO31" s="7" t="s">
        <v>1934</v>
      </c>
      <c r="EQ31" s="7" t="s">
        <v>977</v>
      </c>
      <c r="ES31" s="7">
        <v>0</v>
      </c>
      <c r="ET31" s="7">
        <v>7</v>
      </c>
      <c r="EU31" s="7" t="s">
        <v>1939</v>
      </c>
      <c r="EW31" s="7" t="s">
        <v>977</v>
      </c>
      <c r="FA31" s="7" t="s">
        <v>976</v>
      </c>
      <c r="FC31" s="7" t="s">
        <v>977</v>
      </c>
      <c r="FE31" s="7">
        <v>181</v>
      </c>
      <c r="FO31" s="7" t="s">
        <v>976</v>
      </c>
    </row>
    <row r="32" spans="1:171" ht="76.5" x14ac:dyDescent="0.2">
      <c r="A32" s="34" t="s">
        <v>935</v>
      </c>
      <c r="B32" s="7" t="s">
        <v>3738</v>
      </c>
      <c r="C32" s="7" t="s">
        <v>1934</v>
      </c>
      <c r="E32" s="7" t="s">
        <v>977</v>
      </c>
      <c r="G32" s="7">
        <v>0</v>
      </c>
      <c r="H32" s="7" t="s">
        <v>976</v>
      </c>
      <c r="I32" s="7" t="s">
        <v>2031</v>
      </c>
      <c r="J32" s="7" t="s">
        <v>972</v>
      </c>
      <c r="K32" s="7" t="s">
        <v>972</v>
      </c>
      <c r="L32" s="7">
        <v>5</v>
      </c>
      <c r="M32" s="7" t="s">
        <v>1935</v>
      </c>
      <c r="O32" s="7" t="s">
        <v>972</v>
      </c>
      <c r="P32" s="7" t="s">
        <v>2032</v>
      </c>
      <c r="Q32" s="7" t="s">
        <v>1935</v>
      </c>
      <c r="S32" s="7" t="s">
        <v>972</v>
      </c>
      <c r="T32" s="7">
        <v>3</v>
      </c>
      <c r="U32" s="7" t="s">
        <v>972</v>
      </c>
      <c r="V32" s="7">
        <v>3</v>
      </c>
      <c r="W32" s="7" t="s">
        <v>1937</v>
      </c>
      <c r="Y32" s="7" t="s">
        <v>977</v>
      </c>
      <c r="AA32" s="7">
        <v>0</v>
      </c>
      <c r="AB32" s="7">
        <v>26</v>
      </c>
      <c r="AC32" s="7" t="s">
        <v>1942</v>
      </c>
      <c r="AD32" s="7" t="s">
        <v>2033</v>
      </c>
      <c r="AE32" s="7" t="s">
        <v>977</v>
      </c>
      <c r="AG32" s="7">
        <v>0</v>
      </c>
      <c r="AH32" s="7">
        <v>26</v>
      </c>
      <c r="AI32" s="7" t="s">
        <v>1934</v>
      </c>
      <c r="AK32" s="7" t="s">
        <v>977</v>
      </c>
      <c r="AM32" s="7">
        <v>0</v>
      </c>
      <c r="AN32" s="7">
        <v>4</v>
      </c>
      <c r="AO32" s="7" t="s">
        <v>1942</v>
      </c>
      <c r="AP32" s="7" t="s">
        <v>2034</v>
      </c>
      <c r="AQ32" s="7" t="s">
        <v>977</v>
      </c>
      <c r="AS32" s="7">
        <v>0</v>
      </c>
      <c r="AT32" s="7">
        <v>50</v>
      </c>
      <c r="BA32" s="7" t="s">
        <v>1934</v>
      </c>
      <c r="BC32" s="7" t="s">
        <v>977</v>
      </c>
      <c r="BE32" s="7">
        <v>0</v>
      </c>
      <c r="BF32" s="7">
        <v>52</v>
      </c>
      <c r="BR32" s="7" t="s">
        <v>1934</v>
      </c>
      <c r="BT32" s="7" t="s">
        <v>977</v>
      </c>
      <c r="BV32" s="7" t="s">
        <v>972</v>
      </c>
      <c r="BW32" s="7">
        <v>0</v>
      </c>
      <c r="BX32" s="7">
        <v>13</v>
      </c>
      <c r="BY32" s="7" t="s">
        <v>976</v>
      </c>
      <c r="CJ32" s="7" t="s">
        <v>1934</v>
      </c>
      <c r="CL32" s="7" t="s">
        <v>977</v>
      </c>
      <c r="CN32" s="7" t="s">
        <v>976</v>
      </c>
      <c r="CO32" s="7">
        <v>0</v>
      </c>
      <c r="CP32" s="7" t="s">
        <v>3791</v>
      </c>
      <c r="CQ32" s="7" t="s">
        <v>2035</v>
      </c>
      <c r="CR32" s="7" t="s">
        <v>972</v>
      </c>
      <c r="CS32" s="7" t="s">
        <v>1954</v>
      </c>
      <c r="DL32" s="7" t="s">
        <v>976</v>
      </c>
      <c r="DT32" s="7" t="s">
        <v>1934</v>
      </c>
      <c r="DV32" s="7" t="s">
        <v>977</v>
      </c>
      <c r="DX32" s="7">
        <v>0</v>
      </c>
      <c r="DY32" s="7">
        <v>52</v>
      </c>
      <c r="DZ32" s="7" t="s">
        <v>1934</v>
      </c>
      <c r="EB32" s="7" t="s">
        <v>977</v>
      </c>
      <c r="ED32" s="7" t="s">
        <v>972</v>
      </c>
      <c r="EE32" s="7">
        <v>0</v>
      </c>
      <c r="EF32" s="7">
        <v>10</v>
      </c>
      <c r="FN32" s="7" t="s">
        <v>2036</v>
      </c>
      <c r="FO32" s="7" t="s">
        <v>976</v>
      </c>
    </row>
    <row r="33" spans="1:172" ht="51" x14ac:dyDescent="0.2">
      <c r="A33" s="34" t="s">
        <v>915</v>
      </c>
      <c r="B33" s="7" t="s">
        <v>3881</v>
      </c>
      <c r="C33" s="7" t="s">
        <v>1934</v>
      </c>
      <c r="E33" s="7" t="s">
        <v>977</v>
      </c>
      <c r="G33" s="7">
        <v>1</v>
      </c>
      <c r="H33" s="7" t="s">
        <v>972</v>
      </c>
      <c r="I33" s="7" t="s">
        <v>1949</v>
      </c>
      <c r="J33" s="7" t="s">
        <v>972</v>
      </c>
      <c r="K33" s="7" t="s">
        <v>972</v>
      </c>
      <c r="L33" s="7">
        <v>5</v>
      </c>
      <c r="M33" s="7" t="s">
        <v>1935</v>
      </c>
      <c r="O33" s="7" t="s">
        <v>972</v>
      </c>
      <c r="P33" s="7" t="s">
        <v>1950</v>
      </c>
      <c r="Q33" s="7" t="s">
        <v>1935</v>
      </c>
      <c r="S33" s="7" t="s">
        <v>976</v>
      </c>
      <c r="U33" s="7" t="s">
        <v>976</v>
      </c>
      <c r="W33" s="7" t="s">
        <v>1937</v>
      </c>
      <c r="Y33" s="7" t="s">
        <v>977</v>
      </c>
      <c r="AA33" s="7">
        <v>180</v>
      </c>
      <c r="AB33" s="7">
        <v>26</v>
      </c>
      <c r="AC33" s="7" t="s">
        <v>1942</v>
      </c>
      <c r="AD33" s="7" t="s">
        <v>1951</v>
      </c>
      <c r="AE33" s="7" t="s">
        <v>977</v>
      </c>
      <c r="AG33" s="7">
        <v>180</v>
      </c>
      <c r="AH33" s="7">
        <v>26</v>
      </c>
      <c r="AI33" s="7" t="s">
        <v>1934</v>
      </c>
      <c r="AK33" s="7" t="s">
        <v>977</v>
      </c>
      <c r="AM33" s="7">
        <v>180</v>
      </c>
      <c r="AN33" s="7">
        <v>8</v>
      </c>
      <c r="AO33" s="7" t="s">
        <v>1942</v>
      </c>
      <c r="AP33" s="7" t="s">
        <v>1952</v>
      </c>
      <c r="AQ33" s="7" t="s">
        <v>977</v>
      </c>
      <c r="AS33" s="7">
        <v>180</v>
      </c>
      <c r="AT33" s="7">
        <v>26</v>
      </c>
      <c r="AU33" s="7" t="s">
        <v>1937</v>
      </c>
      <c r="AW33" s="7" t="s">
        <v>977</v>
      </c>
      <c r="AY33" s="7">
        <v>180</v>
      </c>
      <c r="AZ33" s="7">
        <v>26</v>
      </c>
      <c r="BA33" s="7" t="s">
        <v>1934</v>
      </c>
      <c r="BC33" s="7" t="s">
        <v>977</v>
      </c>
      <c r="BE33" s="7">
        <v>180</v>
      </c>
      <c r="BF33" s="7">
        <v>26</v>
      </c>
      <c r="BR33" s="7" t="s">
        <v>1934</v>
      </c>
      <c r="BT33" s="7" t="s">
        <v>977</v>
      </c>
      <c r="BV33" s="7" t="s">
        <v>972</v>
      </c>
      <c r="BW33" s="7">
        <v>1</v>
      </c>
      <c r="BX33" s="7" t="s">
        <v>1953</v>
      </c>
      <c r="BY33" s="7" t="s">
        <v>976</v>
      </c>
      <c r="CJ33" s="7" t="s">
        <v>1934</v>
      </c>
      <c r="CL33" s="7" t="s">
        <v>977</v>
      </c>
      <c r="CN33" s="7" t="s">
        <v>976</v>
      </c>
      <c r="CO33" s="7">
        <v>1</v>
      </c>
      <c r="CP33" s="7" t="s">
        <v>3759</v>
      </c>
      <c r="CR33" s="7" t="s">
        <v>976</v>
      </c>
      <c r="CT33" s="7" t="s">
        <v>1954</v>
      </c>
      <c r="CU33" s="7" t="s">
        <v>1954</v>
      </c>
      <c r="CV33" s="7" t="s">
        <v>1954</v>
      </c>
      <c r="CW33" s="7" t="s">
        <v>1954</v>
      </c>
      <c r="CX33" s="7" t="s">
        <v>1954</v>
      </c>
      <c r="CY33" s="7" t="s">
        <v>1954</v>
      </c>
      <c r="CZ33" s="7" t="s">
        <v>1948</v>
      </c>
      <c r="DA33" s="7" t="s">
        <v>1948</v>
      </c>
      <c r="DB33" s="7" t="s">
        <v>1955</v>
      </c>
      <c r="DC33" s="7" t="s">
        <v>1955</v>
      </c>
      <c r="DD33" s="7" t="s">
        <v>1948</v>
      </c>
      <c r="DE33" s="7" t="s">
        <v>1948</v>
      </c>
      <c r="DL33" s="7" t="s">
        <v>976</v>
      </c>
      <c r="DZ33" s="7" t="s">
        <v>1934</v>
      </c>
      <c r="EB33" s="7" t="s">
        <v>977</v>
      </c>
      <c r="ED33" s="7" t="s">
        <v>972</v>
      </c>
      <c r="EE33" s="7">
        <v>1</v>
      </c>
      <c r="EF33" s="7">
        <v>5</v>
      </c>
      <c r="FO33" s="7" t="s">
        <v>976</v>
      </c>
    </row>
    <row r="34" spans="1:172" ht="63.75" x14ac:dyDescent="0.2">
      <c r="A34" s="34" t="s">
        <v>945</v>
      </c>
      <c r="B34" s="7" t="s">
        <v>3709</v>
      </c>
      <c r="C34" s="7" t="s">
        <v>1934</v>
      </c>
      <c r="E34" s="7" t="s">
        <v>977</v>
      </c>
      <c r="G34" s="7">
        <v>0</v>
      </c>
      <c r="H34" s="7" t="s">
        <v>972</v>
      </c>
      <c r="I34" s="7">
        <v>28</v>
      </c>
      <c r="J34" s="7" t="s">
        <v>972</v>
      </c>
      <c r="K34" s="7" t="s">
        <v>972</v>
      </c>
      <c r="L34" s="7">
        <v>5</v>
      </c>
      <c r="M34" s="7" t="s">
        <v>1935</v>
      </c>
      <c r="O34" s="7" t="s">
        <v>972</v>
      </c>
      <c r="P34" s="7" t="s">
        <v>2061</v>
      </c>
      <c r="Q34" s="7" t="s">
        <v>1935</v>
      </c>
      <c r="S34" s="7" t="s">
        <v>972</v>
      </c>
      <c r="T34" s="7">
        <v>4</v>
      </c>
      <c r="U34" s="7" t="s">
        <v>972</v>
      </c>
      <c r="V34" s="7">
        <v>2</v>
      </c>
      <c r="W34" s="7" t="s">
        <v>1937</v>
      </c>
      <c r="Y34" s="7" t="s">
        <v>977</v>
      </c>
      <c r="AA34" s="7">
        <v>0</v>
      </c>
      <c r="AB34" s="7">
        <v>26</v>
      </c>
      <c r="AC34" s="7" t="s">
        <v>1942</v>
      </c>
      <c r="AD34" s="7" t="s">
        <v>2062</v>
      </c>
      <c r="AE34" s="7" t="s">
        <v>977</v>
      </c>
      <c r="AG34" s="7">
        <v>0</v>
      </c>
      <c r="AH34" s="7">
        <v>26</v>
      </c>
      <c r="AI34" s="7" t="s">
        <v>1934</v>
      </c>
      <c r="AK34" s="7" t="s">
        <v>977</v>
      </c>
      <c r="AM34" s="7">
        <v>0</v>
      </c>
      <c r="AN34" s="7">
        <v>14</v>
      </c>
      <c r="AO34" s="7" t="s">
        <v>1938</v>
      </c>
      <c r="AQ34" s="7" t="s">
        <v>977</v>
      </c>
      <c r="AS34" s="7">
        <v>0</v>
      </c>
      <c r="AU34" s="7" t="s">
        <v>1937</v>
      </c>
      <c r="AW34" s="7" t="s">
        <v>977</v>
      </c>
      <c r="AY34" s="7">
        <v>0</v>
      </c>
      <c r="AZ34" s="7">
        <v>14</v>
      </c>
      <c r="BA34" s="7" t="s">
        <v>1934</v>
      </c>
      <c r="BC34" s="7" t="s">
        <v>977</v>
      </c>
      <c r="BE34" s="7">
        <v>0</v>
      </c>
      <c r="BF34" s="7">
        <v>26</v>
      </c>
      <c r="BG34" s="7" t="s">
        <v>994</v>
      </c>
      <c r="BH34" s="7" t="s">
        <v>2063</v>
      </c>
      <c r="BI34" s="7" t="s">
        <v>977</v>
      </c>
      <c r="BK34" s="7" t="s">
        <v>3756</v>
      </c>
      <c r="BM34" s="7">
        <v>0</v>
      </c>
      <c r="BN34" s="7">
        <v>2</v>
      </c>
      <c r="BO34" s="7" t="s">
        <v>976</v>
      </c>
      <c r="BP34" s="7" t="s">
        <v>972</v>
      </c>
      <c r="BQ34" s="7" t="s">
        <v>2064</v>
      </c>
      <c r="BR34" s="7" t="s">
        <v>1934</v>
      </c>
      <c r="BT34" s="7" t="s">
        <v>977</v>
      </c>
      <c r="BV34" s="7" t="s">
        <v>972</v>
      </c>
      <c r="BW34" s="7">
        <v>0</v>
      </c>
      <c r="BX34" s="7" t="s">
        <v>1957</v>
      </c>
      <c r="BY34" s="7" t="s">
        <v>976</v>
      </c>
      <c r="CE34" s="7" t="s">
        <v>2065</v>
      </c>
      <c r="CJ34" s="7" t="s">
        <v>1934</v>
      </c>
      <c r="CL34" s="7" t="s">
        <v>977</v>
      </c>
      <c r="CN34" s="7" t="s">
        <v>976</v>
      </c>
      <c r="CO34" s="7">
        <v>0</v>
      </c>
      <c r="CP34" s="7" t="s">
        <v>3784</v>
      </c>
      <c r="CR34" s="7" t="s">
        <v>972</v>
      </c>
      <c r="CS34" s="7" t="s">
        <v>1948</v>
      </c>
      <c r="DL34" s="7" t="s">
        <v>1023</v>
      </c>
      <c r="DT34" s="7" t="s">
        <v>1934</v>
      </c>
      <c r="DV34" s="7" t="s">
        <v>977</v>
      </c>
      <c r="DX34" s="7">
        <v>0</v>
      </c>
      <c r="DY34" s="7">
        <v>1</v>
      </c>
      <c r="DZ34" s="7" t="s">
        <v>1934</v>
      </c>
      <c r="EB34" s="7" t="s">
        <v>977</v>
      </c>
      <c r="ED34" s="7" t="s">
        <v>972</v>
      </c>
      <c r="EE34" s="7">
        <v>0</v>
      </c>
      <c r="EG34" s="7" t="s">
        <v>1934</v>
      </c>
      <c r="EI34" s="7" t="s">
        <v>977</v>
      </c>
      <c r="EK34" s="7">
        <v>0</v>
      </c>
      <c r="EL34" s="7" t="s">
        <v>1979</v>
      </c>
      <c r="EN34" s="7">
        <v>1</v>
      </c>
      <c r="EO34" s="7" t="s">
        <v>1934</v>
      </c>
      <c r="EQ34" s="7" t="s">
        <v>977</v>
      </c>
      <c r="ES34" s="7">
        <v>0</v>
      </c>
      <c r="ET34" s="7">
        <v>2</v>
      </c>
      <c r="EU34" s="7" t="s">
        <v>1939</v>
      </c>
      <c r="EW34" s="7" t="s">
        <v>977</v>
      </c>
      <c r="EY34" s="7" t="s">
        <v>1339</v>
      </c>
      <c r="EZ34" s="7" t="s">
        <v>1966</v>
      </c>
      <c r="FA34" s="7" t="s">
        <v>2044</v>
      </c>
      <c r="FC34" s="7" t="s">
        <v>977</v>
      </c>
      <c r="FE34" s="7">
        <v>0</v>
      </c>
      <c r="FF34" s="7">
        <v>8</v>
      </c>
      <c r="FO34" s="7" t="s">
        <v>976</v>
      </c>
    </row>
    <row r="35" spans="1:172" ht="76.5" x14ac:dyDescent="0.2">
      <c r="A35" s="34" t="s">
        <v>924</v>
      </c>
      <c r="B35" s="7" t="s">
        <v>3741</v>
      </c>
      <c r="C35" s="7" t="s">
        <v>1934</v>
      </c>
      <c r="E35" s="7" t="s">
        <v>977</v>
      </c>
      <c r="G35" s="7">
        <v>0</v>
      </c>
      <c r="H35" s="7" t="s">
        <v>972</v>
      </c>
      <c r="I35" s="7">
        <v>5</v>
      </c>
      <c r="J35" s="7" t="s">
        <v>972</v>
      </c>
      <c r="K35" s="7" t="s">
        <v>972</v>
      </c>
      <c r="L35" s="7">
        <v>5</v>
      </c>
      <c r="M35" s="7" t="s">
        <v>1935</v>
      </c>
      <c r="O35" s="7" t="s">
        <v>972</v>
      </c>
      <c r="P35" s="7" t="s">
        <v>1950</v>
      </c>
      <c r="Q35" s="7" t="s">
        <v>1935</v>
      </c>
      <c r="S35" s="7" t="s">
        <v>976</v>
      </c>
      <c r="U35" s="7" t="s">
        <v>976</v>
      </c>
      <c r="W35" s="7" t="s">
        <v>1942</v>
      </c>
      <c r="X35" s="7" t="s">
        <v>3746</v>
      </c>
      <c r="Y35" s="7" t="s">
        <v>977</v>
      </c>
      <c r="AA35" s="7">
        <v>0</v>
      </c>
      <c r="AB35" s="7">
        <v>26</v>
      </c>
      <c r="AC35" s="7" t="s">
        <v>1942</v>
      </c>
      <c r="AD35" s="7" t="s">
        <v>3747</v>
      </c>
      <c r="AE35" s="7" t="s">
        <v>977</v>
      </c>
      <c r="AG35" s="7">
        <v>0</v>
      </c>
      <c r="AH35" s="7">
        <v>26</v>
      </c>
      <c r="AI35" s="7" t="s">
        <v>1934</v>
      </c>
      <c r="AK35" s="7" t="s">
        <v>977</v>
      </c>
      <c r="AM35" s="7">
        <v>0</v>
      </c>
      <c r="AN35" s="7">
        <v>16</v>
      </c>
      <c r="BA35" s="7" t="s">
        <v>1934</v>
      </c>
      <c r="BC35" s="7" t="s">
        <v>977</v>
      </c>
      <c r="BE35" s="7">
        <v>0</v>
      </c>
      <c r="BF35" s="7">
        <v>16</v>
      </c>
      <c r="BG35" s="7" t="s">
        <v>1934</v>
      </c>
      <c r="BI35" s="7" t="s">
        <v>977</v>
      </c>
      <c r="BK35" s="7" t="s">
        <v>3756</v>
      </c>
      <c r="BM35" s="7">
        <v>0</v>
      </c>
      <c r="BN35" s="7">
        <v>2</v>
      </c>
      <c r="BO35" s="7" t="s">
        <v>976</v>
      </c>
      <c r="BP35" s="7" t="s">
        <v>972</v>
      </c>
      <c r="BQ35" s="7" t="s">
        <v>1994</v>
      </c>
      <c r="BR35" s="7" t="s">
        <v>1934</v>
      </c>
      <c r="BT35" s="7" t="s">
        <v>977</v>
      </c>
      <c r="BV35" s="7" t="s">
        <v>976</v>
      </c>
      <c r="BW35" s="7">
        <v>0</v>
      </c>
      <c r="BX35" s="7">
        <v>5</v>
      </c>
      <c r="BY35" s="7" t="s">
        <v>976</v>
      </c>
      <c r="FO35" s="7" t="s">
        <v>976</v>
      </c>
    </row>
    <row r="36" spans="1:172" ht="63.75" x14ac:dyDescent="0.2">
      <c r="A36" s="34" t="s">
        <v>925</v>
      </c>
      <c r="B36" s="7" t="s">
        <v>3733</v>
      </c>
      <c r="W36" s="7" t="s">
        <v>1942</v>
      </c>
      <c r="X36" s="7" t="s">
        <v>1995</v>
      </c>
      <c r="Y36" s="7" t="s">
        <v>977</v>
      </c>
      <c r="AA36" s="7">
        <v>0</v>
      </c>
      <c r="AB36" s="7">
        <v>52</v>
      </c>
      <c r="AC36" s="7" t="s">
        <v>1942</v>
      </c>
      <c r="AD36" s="7" t="s">
        <v>1996</v>
      </c>
      <c r="AE36" s="7" t="s">
        <v>977</v>
      </c>
      <c r="AG36" s="7">
        <v>0</v>
      </c>
      <c r="AH36" s="7">
        <v>26</v>
      </c>
      <c r="AO36" s="7" t="s">
        <v>1942</v>
      </c>
      <c r="AP36" s="7" t="s">
        <v>1997</v>
      </c>
      <c r="AQ36" s="7" t="s">
        <v>977</v>
      </c>
      <c r="AS36" s="7">
        <v>182</v>
      </c>
      <c r="AT36" s="7">
        <v>52</v>
      </c>
      <c r="AU36" s="7" t="s">
        <v>1938</v>
      </c>
      <c r="AW36" s="7" t="s">
        <v>977</v>
      </c>
      <c r="AY36" s="7">
        <v>365</v>
      </c>
      <c r="AZ36" s="7">
        <v>18</v>
      </c>
      <c r="BA36" s="7" t="s">
        <v>1934</v>
      </c>
      <c r="BC36" s="7" t="s">
        <v>977</v>
      </c>
      <c r="BE36" s="7">
        <v>182</v>
      </c>
      <c r="BF36" s="7">
        <v>52</v>
      </c>
      <c r="BR36" s="7" t="s">
        <v>1934</v>
      </c>
      <c r="BT36" s="7" t="s">
        <v>977</v>
      </c>
      <c r="BV36" s="7" t="s">
        <v>972</v>
      </c>
      <c r="BW36" s="7">
        <v>365</v>
      </c>
      <c r="BX36" s="7" t="s">
        <v>1998</v>
      </c>
      <c r="BY36" s="7" t="s">
        <v>976</v>
      </c>
      <c r="CJ36" s="7" t="s">
        <v>1934</v>
      </c>
      <c r="CL36" s="7" t="s">
        <v>977</v>
      </c>
      <c r="CN36" s="7" t="s">
        <v>976</v>
      </c>
      <c r="CO36" s="7">
        <v>0</v>
      </c>
      <c r="CP36" s="7" t="s">
        <v>3784</v>
      </c>
      <c r="CR36" s="7" t="s">
        <v>976</v>
      </c>
      <c r="CT36" s="7" t="s">
        <v>1948</v>
      </c>
      <c r="CU36" s="7" t="s">
        <v>1948</v>
      </c>
      <c r="CV36" s="7" t="s">
        <v>1940</v>
      </c>
      <c r="CW36" s="7" t="s">
        <v>1940</v>
      </c>
      <c r="CX36" s="7" t="s">
        <v>1940</v>
      </c>
      <c r="CY36" s="7" t="s">
        <v>1955</v>
      </c>
      <c r="CZ36" s="7" t="s">
        <v>1948</v>
      </c>
      <c r="DA36" s="7" t="s">
        <v>1955</v>
      </c>
      <c r="DB36" s="7" t="s">
        <v>1955</v>
      </c>
      <c r="DC36" s="7" t="s">
        <v>1941</v>
      </c>
      <c r="DD36" s="7" t="s">
        <v>1948</v>
      </c>
      <c r="DE36" s="7" t="s">
        <v>1941</v>
      </c>
      <c r="DF36" s="7" t="s">
        <v>1941</v>
      </c>
      <c r="DG36" s="7" t="s">
        <v>1941</v>
      </c>
      <c r="DH36" s="7" t="s">
        <v>1941</v>
      </c>
      <c r="DI36" s="7" t="s">
        <v>1941</v>
      </c>
      <c r="DL36" s="7" t="s">
        <v>976</v>
      </c>
      <c r="DT36" s="7" t="s">
        <v>994</v>
      </c>
      <c r="DU36" s="7" t="s">
        <v>1999</v>
      </c>
      <c r="DV36" s="7" t="s">
        <v>977</v>
      </c>
      <c r="DZ36" s="7" t="s">
        <v>1934</v>
      </c>
      <c r="EB36" s="7" t="s">
        <v>977</v>
      </c>
      <c r="ED36" s="7" t="s">
        <v>972</v>
      </c>
      <c r="FC36" s="7" t="s">
        <v>977</v>
      </c>
      <c r="FE36" s="7">
        <v>90</v>
      </c>
      <c r="FF36" s="7">
        <v>4</v>
      </c>
      <c r="FG36" s="7" t="s">
        <v>2000</v>
      </c>
      <c r="FH36" s="7" t="s">
        <v>1934</v>
      </c>
      <c r="FJ36" s="7" t="s">
        <v>977</v>
      </c>
      <c r="FO36" s="7" t="s">
        <v>976</v>
      </c>
    </row>
    <row r="37" spans="1:172" ht="38.25" x14ac:dyDescent="0.2">
      <c r="A37" s="34" t="s">
        <v>3376</v>
      </c>
      <c r="B37" s="10" t="s">
        <v>3706</v>
      </c>
      <c r="C37" s="10" t="s">
        <v>1934</v>
      </c>
      <c r="D37" s="10"/>
      <c r="E37" s="10" t="s">
        <v>977</v>
      </c>
      <c r="F37" s="10"/>
      <c r="G37" s="10">
        <v>0</v>
      </c>
      <c r="H37" s="10" t="s">
        <v>972</v>
      </c>
      <c r="I37" s="10" t="s">
        <v>2051</v>
      </c>
      <c r="J37" s="10" t="s">
        <v>972</v>
      </c>
      <c r="K37" s="10" t="s">
        <v>972</v>
      </c>
      <c r="L37" s="10">
        <v>5</v>
      </c>
      <c r="M37" s="10" t="s">
        <v>1935</v>
      </c>
      <c r="N37" s="10"/>
      <c r="O37" s="10" t="s">
        <v>972</v>
      </c>
      <c r="P37" s="10" t="s">
        <v>3392</v>
      </c>
      <c r="Q37" s="10" t="s">
        <v>1935</v>
      </c>
      <c r="R37" s="10"/>
      <c r="S37" s="10" t="s">
        <v>976</v>
      </c>
      <c r="T37" s="10"/>
      <c r="U37" s="10" t="s">
        <v>976</v>
      </c>
      <c r="V37" s="10"/>
      <c r="W37" s="10"/>
      <c r="X37" s="10"/>
      <c r="Y37" s="10"/>
      <c r="Z37" s="10"/>
      <c r="AA37" s="10"/>
      <c r="AB37" s="10"/>
      <c r="AC37" s="10"/>
      <c r="AD37" s="10"/>
      <c r="AE37" s="10"/>
      <c r="AF37" s="10"/>
      <c r="AG37" s="10"/>
      <c r="AH37" s="10"/>
      <c r="AI37" s="10" t="s">
        <v>1934</v>
      </c>
      <c r="AJ37" s="10"/>
      <c r="AK37" s="10" t="s">
        <v>977</v>
      </c>
      <c r="AL37" s="10"/>
      <c r="AM37" s="10">
        <v>0</v>
      </c>
      <c r="AN37" s="10">
        <v>10</v>
      </c>
      <c r="AO37" s="10"/>
      <c r="AP37" s="10"/>
      <c r="AQ37" s="10"/>
      <c r="AR37" s="10"/>
      <c r="AS37" s="10"/>
      <c r="AT37" s="10"/>
      <c r="AU37" s="10"/>
      <c r="AV37" s="10"/>
      <c r="AW37" s="10"/>
      <c r="AX37" s="10"/>
      <c r="AY37" s="10"/>
      <c r="AZ37" s="10"/>
      <c r="BA37" s="10" t="s">
        <v>1934</v>
      </c>
      <c r="BB37" s="10"/>
      <c r="BC37" s="10" t="s">
        <v>977</v>
      </c>
      <c r="BD37" s="10"/>
      <c r="BE37" s="10">
        <v>0</v>
      </c>
      <c r="BF37" s="10">
        <v>10</v>
      </c>
      <c r="BG37" s="10" t="s">
        <v>1934</v>
      </c>
      <c r="BH37" s="10"/>
      <c r="BI37" s="10" t="s">
        <v>977</v>
      </c>
      <c r="BJ37" s="10"/>
      <c r="BK37" s="10" t="s">
        <v>1977</v>
      </c>
      <c r="BL37" s="10"/>
      <c r="BM37" s="10">
        <v>0</v>
      </c>
      <c r="BN37" s="10">
        <v>4</v>
      </c>
      <c r="BO37" s="10" t="s">
        <v>976</v>
      </c>
      <c r="BP37" s="10" t="s">
        <v>976</v>
      </c>
      <c r="BQ37" s="10"/>
      <c r="BR37" s="10" t="s">
        <v>1934</v>
      </c>
      <c r="BS37" s="10"/>
      <c r="BT37" s="10" t="s">
        <v>977</v>
      </c>
      <c r="BU37" s="10"/>
      <c r="BV37" s="10" t="s">
        <v>976</v>
      </c>
      <c r="BW37" s="10">
        <v>0</v>
      </c>
      <c r="BX37" s="10">
        <v>2</v>
      </c>
      <c r="BY37" s="10" t="s">
        <v>976</v>
      </c>
      <c r="BZ37" s="10"/>
      <c r="CA37" s="10"/>
      <c r="CB37" s="10"/>
      <c r="CC37" s="10"/>
      <c r="CD37" s="10"/>
      <c r="CE37" s="10"/>
      <c r="CF37" s="10"/>
      <c r="CG37" s="10"/>
      <c r="CH37" s="10"/>
      <c r="CI37" s="10"/>
      <c r="CJ37" s="10" t="s">
        <v>1934</v>
      </c>
      <c r="CK37" s="10"/>
      <c r="CL37" s="10" t="s">
        <v>977</v>
      </c>
      <c r="CM37" s="10"/>
      <c r="CN37" s="10" t="s">
        <v>976</v>
      </c>
      <c r="CO37" s="10">
        <v>0</v>
      </c>
      <c r="CP37" s="10" t="s">
        <v>3393</v>
      </c>
      <c r="CQ37" s="10"/>
      <c r="CR37" s="10" t="s">
        <v>972</v>
      </c>
      <c r="CS37" s="10" t="s">
        <v>1959</v>
      </c>
      <c r="CT37" s="10"/>
      <c r="CU37" s="10"/>
      <c r="CV37" s="10"/>
      <c r="CW37" s="10"/>
      <c r="CX37" s="10"/>
      <c r="CY37" s="10"/>
      <c r="CZ37" s="10"/>
      <c r="DA37" s="10"/>
      <c r="DB37" s="10"/>
      <c r="DC37" s="10"/>
      <c r="DD37" s="10"/>
      <c r="DE37" s="10"/>
      <c r="DF37" s="10"/>
      <c r="DG37" s="10"/>
      <c r="DH37" s="10"/>
      <c r="DI37" s="10"/>
      <c r="DJ37" s="10"/>
      <c r="DK37" s="10"/>
      <c r="DL37" s="10" t="s">
        <v>972</v>
      </c>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t="s">
        <v>977</v>
      </c>
      <c r="FD37" s="10"/>
      <c r="FE37" s="10">
        <v>0</v>
      </c>
      <c r="FF37" s="10">
        <v>6</v>
      </c>
      <c r="FG37" s="10"/>
      <c r="FH37" s="10"/>
      <c r="FI37" s="10"/>
      <c r="FJ37" s="10"/>
      <c r="FK37" s="10"/>
      <c r="FL37" s="10"/>
      <c r="FM37" s="10"/>
      <c r="FN37" s="10" t="s">
        <v>3394</v>
      </c>
      <c r="FO37" s="10" t="s">
        <v>976</v>
      </c>
      <c r="FP37" s="10"/>
    </row>
    <row r="38" spans="1:172" x14ac:dyDescent="0.2">
      <c r="A38" s="34" t="s">
        <v>952</v>
      </c>
      <c r="B38" s="7" t="s">
        <v>2097</v>
      </c>
      <c r="C38" s="7" t="s">
        <v>1934</v>
      </c>
      <c r="E38" s="7" t="s">
        <v>977</v>
      </c>
      <c r="G38" s="7">
        <v>0</v>
      </c>
      <c r="H38" s="7" t="s">
        <v>972</v>
      </c>
      <c r="I38" s="7" t="s">
        <v>2098</v>
      </c>
      <c r="J38" s="7" t="s">
        <v>972</v>
      </c>
      <c r="K38" s="7" t="s">
        <v>972</v>
      </c>
      <c r="L38" s="7">
        <v>2</v>
      </c>
      <c r="M38" s="7" t="s">
        <v>1935</v>
      </c>
      <c r="O38" s="7" t="s">
        <v>972</v>
      </c>
      <c r="P38" s="7" t="s">
        <v>1936</v>
      </c>
      <c r="Q38" s="7" t="s">
        <v>1935</v>
      </c>
      <c r="S38" s="7" t="s">
        <v>976</v>
      </c>
      <c r="U38" s="7" t="s">
        <v>976</v>
      </c>
      <c r="W38" s="7" t="s">
        <v>1942</v>
      </c>
      <c r="X38" s="7" t="s">
        <v>2099</v>
      </c>
      <c r="Y38" s="7" t="s">
        <v>977</v>
      </c>
      <c r="AA38" s="7">
        <v>0</v>
      </c>
      <c r="AB38" s="7">
        <v>52</v>
      </c>
      <c r="AI38" s="7" t="s">
        <v>1934</v>
      </c>
      <c r="AK38" s="7" t="s">
        <v>977</v>
      </c>
      <c r="AM38" s="7">
        <v>0</v>
      </c>
      <c r="AN38" s="7">
        <v>6</v>
      </c>
      <c r="FO38" s="7" t="s">
        <v>976</v>
      </c>
    </row>
    <row r="39" spans="1:172" x14ac:dyDescent="0.2">
      <c r="A39" s="34" t="s">
        <v>921</v>
      </c>
      <c r="FO39" s="7" t="s">
        <v>976</v>
      </c>
    </row>
    <row r="40" spans="1:172" ht="114.75" x14ac:dyDescent="0.2">
      <c r="A40" s="34" t="s">
        <v>958</v>
      </c>
      <c r="B40" s="7" t="s">
        <v>3721</v>
      </c>
      <c r="W40" s="7" t="s">
        <v>1937</v>
      </c>
      <c r="Y40" s="7" t="s">
        <v>977</v>
      </c>
      <c r="AA40" s="7">
        <v>0</v>
      </c>
      <c r="AB40" s="7">
        <v>26</v>
      </c>
      <c r="AC40" s="7" t="s">
        <v>1942</v>
      </c>
      <c r="AD40" s="9">
        <v>0.5</v>
      </c>
      <c r="AE40" s="7" t="s">
        <v>977</v>
      </c>
      <c r="AG40" s="7">
        <v>0</v>
      </c>
      <c r="AH40" s="7">
        <v>26</v>
      </c>
      <c r="AU40" s="7" t="s">
        <v>1938</v>
      </c>
      <c r="AW40" s="7" t="s">
        <v>977</v>
      </c>
      <c r="AY40" s="7">
        <v>0</v>
      </c>
      <c r="AZ40" s="7">
        <v>18</v>
      </c>
      <c r="BA40" s="7" t="s">
        <v>1934</v>
      </c>
      <c r="BC40" s="7" t="s">
        <v>977</v>
      </c>
      <c r="BE40" s="7">
        <v>182</v>
      </c>
      <c r="BF40" s="7">
        <v>52</v>
      </c>
      <c r="BR40" s="7" t="s">
        <v>994</v>
      </c>
      <c r="BS40" s="7" t="s">
        <v>2116</v>
      </c>
      <c r="BT40" s="7" t="s">
        <v>977</v>
      </c>
      <c r="BV40" s="7" t="s">
        <v>972</v>
      </c>
      <c r="BW40" s="7">
        <v>0</v>
      </c>
      <c r="BX40" s="7" t="s">
        <v>2117</v>
      </c>
      <c r="BY40" s="7" t="s">
        <v>972</v>
      </c>
      <c r="BZ40" s="7" t="s">
        <v>976</v>
      </c>
      <c r="CJ40" s="7" t="s">
        <v>1934</v>
      </c>
      <c r="CL40" s="7" t="s">
        <v>977</v>
      </c>
      <c r="CN40" s="7" t="s">
        <v>972</v>
      </c>
      <c r="CO40" s="7">
        <v>0</v>
      </c>
      <c r="CP40" s="7" t="s">
        <v>990</v>
      </c>
      <c r="CQ40" s="7" t="s">
        <v>2118</v>
      </c>
      <c r="CR40" s="7" t="s">
        <v>972</v>
      </c>
      <c r="DL40" s="7" t="s">
        <v>1023</v>
      </c>
      <c r="DT40" s="7" t="s">
        <v>1939</v>
      </c>
      <c r="DV40" s="7" t="s">
        <v>977</v>
      </c>
      <c r="DX40" s="7">
        <v>0</v>
      </c>
      <c r="DZ40" s="7" t="s">
        <v>1934</v>
      </c>
      <c r="EB40" s="7" t="s">
        <v>977</v>
      </c>
      <c r="ED40" s="7" t="s">
        <v>972</v>
      </c>
      <c r="EE40" s="7">
        <v>0</v>
      </c>
      <c r="FO40" s="7" t="s">
        <v>976</v>
      </c>
    </row>
    <row r="41" spans="1:172" ht="63.75" x14ac:dyDescent="0.2">
      <c r="A41" s="34" t="s">
        <v>962</v>
      </c>
      <c r="B41" s="7" t="s">
        <v>3888</v>
      </c>
      <c r="C41" s="7" t="s">
        <v>1934</v>
      </c>
      <c r="E41" s="7" t="s">
        <v>3742</v>
      </c>
      <c r="G41" s="7">
        <v>0</v>
      </c>
      <c r="H41" s="7" t="s">
        <v>972</v>
      </c>
      <c r="I41" s="7" t="s">
        <v>2128</v>
      </c>
      <c r="J41" s="7" t="s">
        <v>972</v>
      </c>
      <c r="K41" s="7" t="s">
        <v>972</v>
      </c>
      <c r="L41" s="7">
        <v>5</v>
      </c>
      <c r="M41" s="7" t="s">
        <v>1935</v>
      </c>
      <c r="O41" s="7" t="s">
        <v>972</v>
      </c>
      <c r="P41" s="7" t="s">
        <v>2129</v>
      </c>
      <c r="Q41" s="7" t="s">
        <v>1935</v>
      </c>
      <c r="S41" s="7" t="s">
        <v>976</v>
      </c>
      <c r="U41" s="7" t="s">
        <v>976</v>
      </c>
      <c r="W41" s="7" t="s">
        <v>1937</v>
      </c>
      <c r="Y41" s="7" t="s">
        <v>3748</v>
      </c>
      <c r="AA41" s="7">
        <v>130</v>
      </c>
      <c r="AB41" s="7">
        <v>26</v>
      </c>
      <c r="AC41" s="7" t="s">
        <v>1942</v>
      </c>
      <c r="AD41" s="7" t="s">
        <v>2130</v>
      </c>
      <c r="AE41" s="7" t="s">
        <v>3742</v>
      </c>
      <c r="AG41" s="7">
        <v>130</v>
      </c>
      <c r="AH41" s="7">
        <v>26</v>
      </c>
      <c r="AI41" s="7" t="s">
        <v>1934</v>
      </c>
      <c r="AK41" s="7" t="s">
        <v>3750</v>
      </c>
      <c r="AM41" s="7">
        <v>0</v>
      </c>
      <c r="AN41" s="7">
        <v>2</v>
      </c>
      <c r="AO41" s="7" t="s">
        <v>1942</v>
      </c>
      <c r="AP41" s="7" t="s">
        <v>2131</v>
      </c>
      <c r="AQ41" s="7" t="s">
        <v>3750</v>
      </c>
      <c r="AS41" s="7">
        <v>0</v>
      </c>
      <c r="AT41" s="7">
        <v>52</v>
      </c>
      <c r="AU41" s="7" t="s">
        <v>1938</v>
      </c>
      <c r="AW41" s="7" t="s">
        <v>3751</v>
      </c>
      <c r="AY41" s="7">
        <v>0</v>
      </c>
      <c r="AZ41" s="7">
        <v>18</v>
      </c>
      <c r="BA41" s="7" t="s">
        <v>1934</v>
      </c>
      <c r="BC41" s="7" t="s">
        <v>3751</v>
      </c>
      <c r="BE41" s="7">
        <v>0</v>
      </c>
      <c r="BF41" s="7">
        <v>26</v>
      </c>
      <c r="BG41" s="7" t="s">
        <v>1934</v>
      </c>
      <c r="BI41" s="7" t="s">
        <v>3750</v>
      </c>
      <c r="BK41" s="7" t="s">
        <v>2132</v>
      </c>
      <c r="BM41" s="7">
        <v>0</v>
      </c>
      <c r="BN41" s="7">
        <v>2</v>
      </c>
      <c r="BO41" s="7" t="s">
        <v>972</v>
      </c>
      <c r="BP41" s="7" t="s">
        <v>976</v>
      </c>
      <c r="BR41" s="7" t="s">
        <v>1934</v>
      </c>
      <c r="BT41" s="7" t="s">
        <v>3751</v>
      </c>
      <c r="BV41" s="7" t="s">
        <v>972</v>
      </c>
      <c r="BW41" s="7">
        <v>0</v>
      </c>
      <c r="BX41" s="7" t="s">
        <v>1957</v>
      </c>
      <c r="BY41" s="7" t="s">
        <v>976</v>
      </c>
      <c r="CJ41" s="7" t="s">
        <v>1934</v>
      </c>
      <c r="CL41" s="7" t="s">
        <v>3751</v>
      </c>
      <c r="CN41" s="7" t="s">
        <v>976</v>
      </c>
      <c r="CP41" s="7" t="s">
        <v>2133</v>
      </c>
      <c r="CR41" s="7" t="s">
        <v>972</v>
      </c>
      <c r="CS41" s="7" t="s">
        <v>1948</v>
      </c>
      <c r="DL41" s="7" t="s">
        <v>1023</v>
      </c>
      <c r="DZ41" s="7" t="s">
        <v>1934</v>
      </c>
      <c r="EB41" s="7" t="s">
        <v>3751</v>
      </c>
      <c r="ED41" s="7" t="s">
        <v>972</v>
      </c>
      <c r="EE41" s="7">
        <v>0</v>
      </c>
      <c r="EG41" s="7" t="s">
        <v>1934</v>
      </c>
      <c r="EI41" s="7" t="s">
        <v>3751</v>
      </c>
      <c r="EK41" s="7">
        <v>0</v>
      </c>
      <c r="EL41" s="7" t="s">
        <v>1979</v>
      </c>
      <c r="EN41" s="7">
        <v>1</v>
      </c>
      <c r="FC41" s="7" t="s">
        <v>2127</v>
      </c>
      <c r="FE41" s="7">
        <v>0</v>
      </c>
      <c r="FF41" s="7">
        <v>1</v>
      </c>
      <c r="FO41" s="7" t="s">
        <v>976</v>
      </c>
    </row>
    <row r="42" spans="1:172" ht="63.75" x14ac:dyDescent="0.2">
      <c r="A42" s="34" t="s">
        <v>957</v>
      </c>
      <c r="B42" s="7" t="s">
        <v>3712</v>
      </c>
      <c r="W42" s="7" t="s">
        <v>1937</v>
      </c>
      <c r="Y42" s="7" t="s">
        <v>977</v>
      </c>
      <c r="AA42" s="7">
        <v>0</v>
      </c>
      <c r="AB42" s="7">
        <v>26</v>
      </c>
      <c r="AC42" s="7" t="s">
        <v>1938</v>
      </c>
      <c r="AE42" s="7" t="s">
        <v>977</v>
      </c>
      <c r="AG42" s="7">
        <v>0</v>
      </c>
      <c r="AH42" s="7">
        <v>26</v>
      </c>
      <c r="AI42" s="7" t="s">
        <v>1934</v>
      </c>
      <c r="AK42" s="7" t="s">
        <v>977</v>
      </c>
      <c r="AM42" s="7">
        <v>0</v>
      </c>
      <c r="AN42" s="7">
        <v>12</v>
      </c>
      <c r="AO42" s="7" t="s">
        <v>1942</v>
      </c>
      <c r="AP42" s="7" t="s">
        <v>2112</v>
      </c>
      <c r="AQ42" s="7" t="s">
        <v>977</v>
      </c>
      <c r="AS42" s="7">
        <v>0</v>
      </c>
      <c r="AT42" s="7">
        <v>52</v>
      </c>
      <c r="AU42" s="7" t="s">
        <v>1938</v>
      </c>
      <c r="AW42" s="7" t="s">
        <v>977</v>
      </c>
      <c r="AY42" s="7">
        <v>0</v>
      </c>
      <c r="AZ42" s="7">
        <v>4</v>
      </c>
      <c r="BA42" s="7" t="s">
        <v>994</v>
      </c>
      <c r="BB42" s="7" t="s">
        <v>2113</v>
      </c>
      <c r="BC42" s="7" t="s">
        <v>977</v>
      </c>
      <c r="BE42" s="7">
        <v>0</v>
      </c>
      <c r="BF42" s="7">
        <v>52</v>
      </c>
      <c r="BG42" s="7" t="s">
        <v>1934</v>
      </c>
      <c r="BI42" s="7" t="s">
        <v>977</v>
      </c>
      <c r="BK42" s="7" t="s">
        <v>3756</v>
      </c>
      <c r="BM42" s="7">
        <v>0</v>
      </c>
      <c r="BN42" s="7">
        <v>4</v>
      </c>
      <c r="BO42" s="7" t="s">
        <v>972</v>
      </c>
      <c r="BP42" s="7" t="s">
        <v>976</v>
      </c>
      <c r="BR42" s="7" t="s">
        <v>1934</v>
      </c>
      <c r="BT42" s="7" t="s">
        <v>977</v>
      </c>
      <c r="BV42" s="7" t="s">
        <v>972</v>
      </c>
      <c r="BW42" s="7">
        <v>0</v>
      </c>
      <c r="BX42" s="7" t="s">
        <v>2114</v>
      </c>
      <c r="BY42" s="7" t="s">
        <v>976</v>
      </c>
      <c r="CJ42" s="7" t="s">
        <v>1934</v>
      </c>
      <c r="CL42" s="7" t="s">
        <v>977</v>
      </c>
      <c r="CN42" s="7" t="s">
        <v>972</v>
      </c>
      <c r="CO42" s="7">
        <v>0</v>
      </c>
      <c r="CP42" s="7" t="s">
        <v>3781</v>
      </c>
      <c r="CR42" s="7" t="s">
        <v>972</v>
      </c>
      <c r="CS42" s="7" t="s">
        <v>2115</v>
      </c>
      <c r="DL42" s="7" t="s">
        <v>1023</v>
      </c>
      <c r="DT42" s="7" t="s">
        <v>1939</v>
      </c>
      <c r="DV42" s="7" t="s">
        <v>977</v>
      </c>
      <c r="DX42" s="7">
        <v>0</v>
      </c>
      <c r="DZ42" s="7" t="s">
        <v>1934</v>
      </c>
      <c r="EB42" s="7" t="s">
        <v>977</v>
      </c>
      <c r="ED42" s="7" t="s">
        <v>972</v>
      </c>
      <c r="EE42" s="7">
        <v>0</v>
      </c>
      <c r="EG42" s="7" t="s">
        <v>1934</v>
      </c>
      <c r="EI42" s="7" t="s">
        <v>977</v>
      </c>
      <c r="EK42" s="7">
        <v>0</v>
      </c>
      <c r="EL42" s="7" t="s">
        <v>1979</v>
      </c>
      <c r="EN42" s="7">
        <v>1</v>
      </c>
      <c r="EO42" s="7" t="s">
        <v>1934</v>
      </c>
      <c r="EQ42" s="7" t="s">
        <v>977</v>
      </c>
      <c r="ES42" s="7">
        <v>0</v>
      </c>
      <c r="ET42" s="7">
        <v>2</v>
      </c>
      <c r="FC42" s="7" t="s">
        <v>977</v>
      </c>
      <c r="FE42" s="7">
        <v>0</v>
      </c>
      <c r="FF42" s="7">
        <v>13</v>
      </c>
      <c r="FO42" s="7" t="s">
        <v>976</v>
      </c>
    </row>
    <row r="43" spans="1:172" ht="51" x14ac:dyDescent="0.2">
      <c r="A43" s="34" t="s">
        <v>918</v>
      </c>
      <c r="B43" s="7" t="s">
        <v>3726</v>
      </c>
      <c r="C43" s="7" t="s">
        <v>1934</v>
      </c>
      <c r="E43" s="7" t="s">
        <v>977</v>
      </c>
      <c r="G43" s="7">
        <v>0</v>
      </c>
      <c r="H43" s="7" t="s">
        <v>972</v>
      </c>
      <c r="I43" s="7">
        <v>4.5</v>
      </c>
      <c r="J43" s="7" t="s">
        <v>972</v>
      </c>
      <c r="K43" s="7" t="s">
        <v>972</v>
      </c>
      <c r="L43" s="7">
        <v>5</v>
      </c>
      <c r="M43" s="7" t="s">
        <v>1935</v>
      </c>
      <c r="O43" s="7" t="s">
        <v>972</v>
      </c>
      <c r="P43" s="7" t="s">
        <v>1936</v>
      </c>
      <c r="Q43" s="7" t="s">
        <v>1935</v>
      </c>
      <c r="S43" s="7" t="s">
        <v>976</v>
      </c>
      <c r="U43" s="7" t="s">
        <v>976</v>
      </c>
      <c r="W43" s="7" t="s">
        <v>1942</v>
      </c>
      <c r="X43" s="7" t="s">
        <v>1969</v>
      </c>
      <c r="Y43" s="7" t="s">
        <v>977</v>
      </c>
      <c r="AA43" s="7">
        <v>0</v>
      </c>
      <c r="AB43" s="7">
        <v>26</v>
      </c>
      <c r="AU43" s="7" t="s">
        <v>1938</v>
      </c>
      <c r="AW43" s="7" t="s">
        <v>977</v>
      </c>
      <c r="AY43" s="7">
        <v>365</v>
      </c>
      <c r="AZ43" s="7">
        <v>18</v>
      </c>
      <c r="BA43" s="7" t="s">
        <v>1934</v>
      </c>
      <c r="BC43" s="7" t="s">
        <v>977</v>
      </c>
      <c r="BE43" s="7">
        <v>183</v>
      </c>
      <c r="BF43" s="7">
        <v>26</v>
      </c>
      <c r="BR43" s="7" t="s">
        <v>1934</v>
      </c>
      <c r="BT43" s="7" t="s">
        <v>977</v>
      </c>
      <c r="BV43" s="7" t="s">
        <v>972</v>
      </c>
      <c r="BW43" s="7">
        <v>0</v>
      </c>
      <c r="BX43" s="7">
        <v>183</v>
      </c>
      <c r="BY43" s="7" t="s">
        <v>976</v>
      </c>
      <c r="CD43" s="7" t="s">
        <v>1934</v>
      </c>
      <c r="CF43" s="7" t="s">
        <v>977</v>
      </c>
      <c r="CH43" s="7">
        <v>0</v>
      </c>
      <c r="CI43" s="7">
        <v>0.5</v>
      </c>
      <c r="CJ43" s="7" t="s">
        <v>1934</v>
      </c>
      <c r="CL43" s="7" t="s">
        <v>977</v>
      </c>
      <c r="CN43" s="7" t="s">
        <v>976</v>
      </c>
      <c r="CO43" s="7">
        <v>0</v>
      </c>
      <c r="CP43" s="7" t="s">
        <v>990</v>
      </c>
      <c r="CQ43" s="7" t="s">
        <v>1970</v>
      </c>
      <c r="CR43" s="7" t="s">
        <v>976</v>
      </c>
      <c r="DK43" s="7" t="s">
        <v>1025</v>
      </c>
      <c r="DL43" s="7" t="s">
        <v>972</v>
      </c>
      <c r="DZ43" s="7" t="s">
        <v>1934</v>
      </c>
      <c r="EB43" s="7" t="s">
        <v>977</v>
      </c>
      <c r="ED43" s="7" t="s">
        <v>972</v>
      </c>
      <c r="EE43" s="7">
        <v>0</v>
      </c>
      <c r="EG43" s="7" t="s">
        <v>1934</v>
      </c>
      <c r="EI43" s="7" t="s">
        <v>977</v>
      </c>
      <c r="EK43" s="7">
        <v>0</v>
      </c>
      <c r="EL43" s="7" t="s">
        <v>994</v>
      </c>
      <c r="EM43" s="7" t="s">
        <v>1971</v>
      </c>
      <c r="FC43" s="7" t="s">
        <v>977</v>
      </c>
      <c r="FE43" s="7">
        <v>0</v>
      </c>
      <c r="FN43" s="7" t="s">
        <v>1972</v>
      </c>
      <c r="FO43" s="7" t="s">
        <v>976</v>
      </c>
    </row>
    <row r="44" spans="1:172" ht="63.75" x14ac:dyDescent="0.2">
      <c r="A44" s="34" t="s">
        <v>965</v>
      </c>
      <c r="B44" s="7" t="s">
        <v>3880</v>
      </c>
      <c r="C44" s="7" t="s">
        <v>1934</v>
      </c>
      <c r="E44" s="7" t="s">
        <v>977</v>
      </c>
      <c r="G44" s="7">
        <v>0</v>
      </c>
      <c r="H44" s="7" t="s">
        <v>972</v>
      </c>
      <c r="I44" s="7">
        <v>5</v>
      </c>
      <c r="J44" s="7" t="s">
        <v>976</v>
      </c>
      <c r="S44" s="7" t="s">
        <v>976</v>
      </c>
      <c r="U44" s="7" t="s">
        <v>976</v>
      </c>
      <c r="W44" s="7" t="s">
        <v>1937</v>
      </c>
      <c r="Y44" s="7" t="s">
        <v>977</v>
      </c>
      <c r="AA44" s="7">
        <v>0</v>
      </c>
      <c r="AB44" s="7">
        <v>56</v>
      </c>
      <c r="AC44" s="7" t="s">
        <v>1938</v>
      </c>
      <c r="AE44" s="7" t="s">
        <v>977</v>
      </c>
      <c r="AG44" s="7">
        <v>0</v>
      </c>
      <c r="AH44" s="7">
        <v>26</v>
      </c>
      <c r="AI44" s="7" t="s">
        <v>1934</v>
      </c>
      <c r="AK44" s="7" t="s">
        <v>977</v>
      </c>
      <c r="AM44" s="7">
        <v>0</v>
      </c>
      <c r="AN44" s="7">
        <v>2</v>
      </c>
      <c r="AO44" s="7" t="s">
        <v>1938</v>
      </c>
      <c r="AQ44" s="7" t="s">
        <v>977</v>
      </c>
      <c r="AS44" s="7">
        <v>0</v>
      </c>
      <c r="AT44" s="7">
        <v>50</v>
      </c>
      <c r="AU44" s="7" t="s">
        <v>1938</v>
      </c>
      <c r="AW44" s="7" t="s">
        <v>977</v>
      </c>
      <c r="AY44" s="7">
        <v>365</v>
      </c>
      <c r="AZ44" s="7">
        <v>18</v>
      </c>
      <c r="BA44" s="7" t="s">
        <v>1934</v>
      </c>
      <c r="BC44" s="7" t="s">
        <v>977</v>
      </c>
      <c r="BE44" s="7">
        <v>0</v>
      </c>
      <c r="BF44" s="7">
        <v>56</v>
      </c>
      <c r="BR44" s="7" t="s">
        <v>994</v>
      </c>
      <c r="BS44" s="7" t="s">
        <v>2145</v>
      </c>
      <c r="BT44" s="7" t="s">
        <v>977</v>
      </c>
      <c r="BV44" s="7" t="s">
        <v>972</v>
      </c>
      <c r="BW44" s="7">
        <v>0</v>
      </c>
      <c r="BX44" s="7">
        <v>28</v>
      </c>
      <c r="BY44" s="7" t="s">
        <v>976</v>
      </c>
      <c r="CJ44" s="7" t="s">
        <v>1934</v>
      </c>
      <c r="CL44" s="7" t="s">
        <v>977</v>
      </c>
      <c r="CN44" s="7" t="s">
        <v>976</v>
      </c>
      <c r="CO44" s="7">
        <v>0</v>
      </c>
      <c r="CP44" s="7" t="s">
        <v>3792</v>
      </c>
      <c r="CQ44" s="7" t="s">
        <v>2146</v>
      </c>
      <c r="CR44" s="7" t="s">
        <v>976</v>
      </c>
      <c r="CT44" s="7" t="s">
        <v>1948</v>
      </c>
      <c r="CU44" s="7" t="s">
        <v>1948</v>
      </c>
      <c r="CV44" s="7" t="s">
        <v>1948</v>
      </c>
      <c r="CY44" s="7" t="s">
        <v>1955</v>
      </c>
      <c r="CZ44" s="7" t="s">
        <v>1955</v>
      </c>
      <c r="DB44" s="7" t="s">
        <v>1955</v>
      </c>
      <c r="DD44" s="7" t="s">
        <v>1955</v>
      </c>
      <c r="DL44" s="7" t="s">
        <v>976</v>
      </c>
      <c r="DT44" s="7" t="s">
        <v>1934</v>
      </c>
      <c r="DV44" s="7" t="s">
        <v>977</v>
      </c>
      <c r="DX44" s="7">
        <v>0</v>
      </c>
      <c r="DY44" s="7">
        <v>1.5</v>
      </c>
      <c r="FC44" s="7" t="s">
        <v>977</v>
      </c>
      <c r="FE44" s="7">
        <v>0</v>
      </c>
      <c r="FN44" s="7" t="s">
        <v>2147</v>
      </c>
      <c r="FO44" s="7" t="s">
        <v>976</v>
      </c>
    </row>
    <row r="45" spans="1:172" ht="63.75" x14ac:dyDescent="0.2">
      <c r="A45" s="34" t="s">
        <v>942</v>
      </c>
      <c r="B45" s="7" t="s">
        <v>2055</v>
      </c>
      <c r="AI45" s="7" t="s">
        <v>1934</v>
      </c>
      <c r="AK45" s="7" t="s">
        <v>977</v>
      </c>
      <c r="AM45" s="7">
        <v>182</v>
      </c>
      <c r="AN45" s="7">
        <v>20</v>
      </c>
      <c r="CJ45" s="7" t="s">
        <v>1934</v>
      </c>
      <c r="CL45" s="7" t="s">
        <v>977</v>
      </c>
      <c r="CN45" s="7" t="s">
        <v>976</v>
      </c>
      <c r="CO45" s="7">
        <v>0</v>
      </c>
      <c r="CP45" s="7" t="s">
        <v>3784</v>
      </c>
      <c r="CR45" s="7" t="s">
        <v>972</v>
      </c>
      <c r="CS45" s="7" t="s">
        <v>1959</v>
      </c>
      <c r="DL45" s="7" t="s">
        <v>976</v>
      </c>
      <c r="FC45" s="7" t="s">
        <v>977</v>
      </c>
      <c r="FE45" s="7">
        <v>0</v>
      </c>
      <c r="FO45" s="7" t="s">
        <v>976</v>
      </c>
    </row>
    <row r="46" spans="1:172" ht="63.75" x14ac:dyDescent="0.2">
      <c r="A46" s="34" t="s">
        <v>955</v>
      </c>
      <c r="B46" s="7" t="s">
        <v>3879</v>
      </c>
      <c r="C46" s="7" t="s">
        <v>1934</v>
      </c>
      <c r="E46" s="7" t="s">
        <v>977</v>
      </c>
      <c r="G46" s="7">
        <v>0</v>
      </c>
      <c r="H46" s="7" t="s">
        <v>972</v>
      </c>
      <c r="I46" s="7" t="s">
        <v>2108</v>
      </c>
      <c r="J46" s="7" t="s">
        <v>972</v>
      </c>
      <c r="K46" s="7" t="s">
        <v>972</v>
      </c>
      <c r="L46" s="7">
        <v>5</v>
      </c>
      <c r="M46" s="7" t="s">
        <v>1935</v>
      </c>
      <c r="O46" s="7" t="s">
        <v>972</v>
      </c>
      <c r="P46" s="7" t="s">
        <v>2109</v>
      </c>
      <c r="Q46" s="7" t="s">
        <v>1935</v>
      </c>
      <c r="S46" s="7" t="s">
        <v>976</v>
      </c>
      <c r="U46" s="7" t="s">
        <v>976</v>
      </c>
      <c r="W46" s="7" t="s">
        <v>1937</v>
      </c>
      <c r="Y46" s="7" t="s">
        <v>977</v>
      </c>
      <c r="AA46" s="7">
        <v>0</v>
      </c>
      <c r="AB46" s="7">
        <v>26</v>
      </c>
      <c r="AC46" s="7" t="s">
        <v>1938</v>
      </c>
      <c r="AE46" s="7" t="s">
        <v>977</v>
      </c>
      <c r="AG46" s="7">
        <v>0</v>
      </c>
      <c r="AH46" s="7">
        <v>26</v>
      </c>
      <c r="AI46" s="7" t="s">
        <v>1934</v>
      </c>
      <c r="AK46" s="7" t="s">
        <v>977</v>
      </c>
      <c r="AM46" s="7">
        <v>0</v>
      </c>
      <c r="AN46" s="7">
        <v>12</v>
      </c>
      <c r="AO46" s="7" t="s">
        <v>1938</v>
      </c>
      <c r="AQ46" s="7" t="s">
        <v>977</v>
      </c>
      <c r="AS46" s="7">
        <v>0</v>
      </c>
      <c r="AT46" s="7">
        <v>26</v>
      </c>
      <c r="AU46" s="7" t="s">
        <v>1938</v>
      </c>
      <c r="AW46" s="7" t="s">
        <v>977</v>
      </c>
      <c r="AY46" s="7">
        <v>0</v>
      </c>
      <c r="AZ46" s="7">
        <v>18</v>
      </c>
      <c r="BA46" s="7" t="s">
        <v>1934</v>
      </c>
      <c r="BC46" s="7" t="s">
        <v>977</v>
      </c>
      <c r="BE46" s="7">
        <v>0</v>
      </c>
      <c r="BF46" s="7">
        <v>26</v>
      </c>
      <c r="BR46" s="7" t="s">
        <v>1934</v>
      </c>
      <c r="BT46" s="7" t="s">
        <v>977</v>
      </c>
      <c r="BV46" s="7" t="s">
        <v>972</v>
      </c>
      <c r="BW46" s="7">
        <v>0</v>
      </c>
      <c r="BX46" s="7" t="s">
        <v>1957</v>
      </c>
      <c r="BY46" s="7" t="s">
        <v>976</v>
      </c>
      <c r="CJ46" s="7" t="s">
        <v>1934</v>
      </c>
      <c r="CL46" s="7" t="s">
        <v>977</v>
      </c>
      <c r="CN46" s="7" t="s">
        <v>976</v>
      </c>
      <c r="CO46" s="7">
        <v>0</v>
      </c>
      <c r="CP46" s="7" t="s">
        <v>3784</v>
      </c>
      <c r="CR46" s="7" t="s">
        <v>972</v>
      </c>
      <c r="CS46" s="7" t="s">
        <v>1959</v>
      </c>
      <c r="DL46" s="7" t="s">
        <v>1023</v>
      </c>
      <c r="DT46" s="7" t="s">
        <v>994</v>
      </c>
      <c r="DU46" s="7" t="s">
        <v>2110</v>
      </c>
      <c r="DV46" s="7" t="s">
        <v>977</v>
      </c>
      <c r="DX46" s="7">
        <v>0</v>
      </c>
      <c r="DZ46" s="7" t="s">
        <v>1934</v>
      </c>
      <c r="EB46" s="7" t="s">
        <v>977</v>
      </c>
      <c r="ED46" s="7" t="s">
        <v>972</v>
      </c>
      <c r="EE46" s="7">
        <v>0</v>
      </c>
      <c r="EF46" s="7">
        <v>20</v>
      </c>
      <c r="FC46" s="7" t="s">
        <v>977</v>
      </c>
      <c r="FE46" s="7">
        <v>182</v>
      </c>
      <c r="FF46" s="7">
        <v>13</v>
      </c>
      <c r="FO46" s="7" t="s">
        <v>976</v>
      </c>
    </row>
    <row r="47" spans="1:172" ht="63.75" x14ac:dyDescent="0.2">
      <c r="A47" s="37" t="s">
        <v>967</v>
      </c>
      <c r="B47" s="10" t="s">
        <v>3710</v>
      </c>
      <c r="C47" s="10"/>
      <c r="D47" s="10"/>
      <c r="E47" s="10"/>
      <c r="F47" s="10"/>
      <c r="G47" s="10"/>
      <c r="H47" s="10"/>
      <c r="I47" s="10"/>
      <c r="J47" s="10"/>
      <c r="K47" s="10"/>
      <c r="L47" s="10"/>
      <c r="M47" s="10"/>
      <c r="N47" s="10"/>
      <c r="O47" s="10"/>
      <c r="P47" s="10"/>
      <c r="Q47" s="10"/>
      <c r="R47" s="10"/>
      <c r="S47" s="10"/>
      <c r="T47" s="10"/>
      <c r="U47" s="10"/>
      <c r="V47" s="10"/>
      <c r="W47" s="10" t="s">
        <v>1942</v>
      </c>
      <c r="X47" s="10" t="s">
        <v>2148</v>
      </c>
      <c r="Y47" s="10" t="s">
        <v>977</v>
      </c>
      <c r="Z47" s="10"/>
      <c r="AA47" s="10">
        <v>182</v>
      </c>
      <c r="AB47" s="10">
        <v>52</v>
      </c>
      <c r="AC47" s="10" t="s">
        <v>1938</v>
      </c>
      <c r="AD47" s="10"/>
      <c r="AE47" s="10" t="s">
        <v>977</v>
      </c>
      <c r="AF47" s="10"/>
      <c r="AG47" s="10">
        <v>182</v>
      </c>
      <c r="AH47" s="10">
        <v>26</v>
      </c>
      <c r="AI47" s="10" t="s">
        <v>1934</v>
      </c>
      <c r="AJ47" s="10"/>
      <c r="AK47" s="10" t="s">
        <v>977</v>
      </c>
      <c r="AL47" s="10"/>
      <c r="AM47" s="10">
        <v>0</v>
      </c>
      <c r="AN47" s="10">
        <v>4</v>
      </c>
      <c r="AO47" s="10" t="s">
        <v>1938</v>
      </c>
      <c r="AP47" s="10"/>
      <c r="AQ47" s="10" t="s">
        <v>977</v>
      </c>
      <c r="AR47" s="10"/>
      <c r="AS47" s="10">
        <v>365</v>
      </c>
      <c r="AT47" s="10">
        <v>18</v>
      </c>
      <c r="AU47" s="10" t="s">
        <v>1938</v>
      </c>
      <c r="AV47" s="10"/>
      <c r="AW47" s="10" t="s">
        <v>977</v>
      </c>
      <c r="AX47" s="10"/>
      <c r="AY47" s="10">
        <v>365</v>
      </c>
      <c r="AZ47" s="10">
        <v>18</v>
      </c>
      <c r="BA47" s="10" t="s">
        <v>994</v>
      </c>
      <c r="BB47" s="10" t="s">
        <v>2149</v>
      </c>
      <c r="BC47" s="10" t="s">
        <v>977</v>
      </c>
      <c r="BD47" s="10"/>
      <c r="BE47" s="10">
        <v>182</v>
      </c>
      <c r="BF47" s="10">
        <v>52</v>
      </c>
      <c r="BG47" s="10" t="s">
        <v>1934</v>
      </c>
      <c r="BH47" s="10"/>
      <c r="BI47" s="10" t="s">
        <v>977</v>
      </c>
      <c r="BJ47" s="10"/>
      <c r="BK47" s="10" t="s">
        <v>3754</v>
      </c>
      <c r="BL47" s="10"/>
      <c r="BM47" s="10">
        <v>0</v>
      </c>
      <c r="BN47" s="10">
        <v>12</v>
      </c>
      <c r="BO47" s="10" t="s">
        <v>972</v>
      </c>
      <c r="BP47" s="10" t="s">
        <v>976</v>
      </c>
      <c r="BQ47" s="10"/>
      <c r="BR47" s="10" t="s">
        <v>994</v>
      </c>
      <c r="BS47" s="10" t="s">
        <v>3763</v>
      </c>
      <c r="BT47" s="10" t="s">
        <v>977</v>
      </c>
      <c r="BU47" s="10"/>
      <c r="BV47" s="10" t="s">
        <v>972</v>
      </c>
      <c r="BW47" s="10">
        <v>0</v>
      </c>
      <c r="BX47" s="10">
        <v>26</v>
      </c>
      <c r="BY47" s="10" t="s">
        <v>976</v>
      </c>
      <c r="BZ47" s="10"/>
      <c r="CA47" s="10"/>
      <c r="CB47" s="10"/>
      <c r="CC47" s="10"/>
      <c r="CD47" s="10"/>
      <c r="CE47" s="10"/>
      <c r="CF47" s="10"/>
      <c r="CG47" s="10"/>
      <c r="CH47" s="10"/>
      <c r="CI47" s="10"/>
      <c r="CJ47" s="10" t="s">
        <v>1934</v>
      </c>
      <c r="CK47" s="10"/>
      <c r="CL47" s="10" t="s">
        <v>977</v>
      </c>
      <c r="CM47" s="10"/>
      <c r="CN47" s="10" t="s">
        <v>976</v>
      </c>
      <c r="CO47" s="10">
        <v>0</v>
      </c>
      <c r="CP47" s="10" t="s">
        <v>3781</v>
      </c>
      <c r="CQ47" s="10"/>
      <c r="CR47" s="10" t="s">
        <v>976</v>
      </c>
      <c r="CS47" s="10"/>
      <c r="CT47" s="10" t="s">
        <v>1954</v>
      </c>
      <c r="CU47" s="10" t="s">
        <v>1954</v>
      </c>
      <c r="CV47" s="10" t="s">
        <v>1954</v>
      </c>
      <c r="CW47" s="10" t="s">
        <v>1954</v>
      </c>
      <c r="CX47" s="10" t="s">
        <v>1954</v>
      </c>
      <c r="CY47" s="10" t="s">
        <v>1959</v>
      </c>
      <c r="CZ47" s="10" t="s">
        <v>1959</v>
      </c>
      <c r="DA47" s="10" t="s">
        <v>1959</v>
      </c>
      <c r="DB47" s="10" t="s">
        <v>1959</v>
      </c>
      <c r="DC47" s="10" t="s">
        <v>1959</v>
      </c>
      <c r="DD47" s="10" t="s">
        <v>1959</v>
      </c>
      <c r="DE47" s="10" t="s">
        <v>1959</v>
      </c>
      <c r="DF47" s="10" t="s">
        <v>1955</v>
      </c>
      <c r="DG47" s="10" t="s">
        <v>1955</v>
      </c>
      <c r="DH47" s="10" t="s">
        <v>1955</v>
      </c>
      <c r="DI47" s="10"/>
      <c r="DJ47" s="10"/>
      <c r="DK47" s="10"/>
      <c r="DL47" s="10" t="s">
        <v>976</v>
      </c>
      <c r="DM47" s="10"/>
      <c r="DN47" s="10"/>
      <c r="DO47" s="10"/>
      <c r="DP47" s="10"/>
      <c r="DQ47" s="10"/>
      <c r="DR47" s="10"/>
      <c r="DS47" s="10"/>
      <c r="DT47" s="10" t="s">
        <v>1934</v>
      </c>
      <c r="DU47" s="10"/>
      <c r="DV47" s="10" t="s">
        <v>977</v>
      </c>
      <c r="DW47" s="10"/>
      <c r="DX47" s="10">
        <v>0</v>
      </c>
      <c r="DY47" s="10">
        <v>1</v>
      </c>
      <c r="DZ47" s="10" t="s">
        <v>1934</v>
      </c>
      <c r="EA47" s="10"/>
      <c r="EB47" s="10" t="s">
        <v>977</v>
      </c>
      <c r="EC47" s="10"/>
      <c r="ED47" s="10" t="s">
        <v>972</v>
      </c>
      <c r="EE47" s="10">
        <v>0</v>
      </c>
      <c r="EF47" s="10"/>
      <c r="EG47" s="10"/>
      <c r="EH47" s="10"/>
      <c r="EI47" s="10"/>
      <c r="EJ47" s="10"/>
      <c r="EK47" s="10"/>
      <c r="EL47" s="10"/>
      <c r="EM47" s="10"/>
      <c r="EN47" s="10"/>
      <c r="EO47" s="10" t="s">
        <v>1934</v>
      </c>
      <c r="EP47" s="10"/>
      <c r="EQ47" s="10" t="s">
        <v>977</v>
      </c>
      <c r="ER47" s="10"/>
      <c r="ES47" s="10">
        <v>0</v>
      </c>
      <c r="ET47" s="10">
        <v>1</v>
      </c>
      <c r="EU47" s="10"/>
      <c r="EV47" s="10"/>
      <c r="EW47" s="10"/>
      <c r="EX47" s="10"/>
      <c r="EY47" s="10"/>
      <c r="EZ47" s="10"/>
      <c r="FA47" s="10"/>
      <c r="FB47" s="10"/>
      <c r="FC47" s="10"/>
      <c r="FD47" s="10"/>
      <c r="FE47" s="10"/>
      <c r="FF47" s="10"/>
      <c r="FG47" s="10" t="s">
        <v>2150</v>
      </c>
      <c r="FH47" s="10" t="s">
        <v>1934</v>
      </c>
      <c r="FI47" s="10"/>
      <c r="FJ47" s="10" t="s">
        <v>977</v>
      </c>
      <c r="FK47" s="10"/>
      <c r="FL47" s="10">
        <v>0</v>
      </c>
      <c r="FM47" s="10">
        <v>10</v>
      </c>
      <c r="FN47" s="10"/>
      <c r="FO47" s="10"/>
      <c r="FP47" s="10"/>
    </row>
    <row r="48" spans="1:172" ht="89.25" x14ac:dyDescent="0.2">
      <c r="A48" s="34" t="s">
        <v>964</v>
      </c>
      <c r="B48" s="7" t="s">
        <v>3725</v>
      </c>
      <c r="C48" s="7" t="s">
        <v>1934</v>
      </c>
      <c r="E48" s="7" t="s">
        <v>977</v>
      </c>
      <c r="G48" s="7">
        <v>0</v>
      </c>
      <c r="H48" s="7" t="s">
        <v>972</v>
      </c>
      <c r="I48" s="7" t="s">
        <v>2140</v>
      </c>
      <c r="J48" s="7" t="s">
        <v>976</v>
      </c>
      <c r="S48" s="7" t="s">
        <v>976</v>
      </c>
      <c r="U48" s="7" t="s">
        <v>976</v>
      </c>
      <c r="W48" s="7" t="s">
        <v>1937</v>
      </c>
      <c r="Y48" s="7" t="s">
        <v>977</v>
      </c>
      <c r="AA48" s="7">
        <v>0</v>
      </c>
      <c r="AB48" s="7">
        <v>24</v>
      </c>
      <c r="AC48" s="7" t="s">
        <v>1937</v>
      </c>
      <c r="AE48" s="7" t="s">
        <v>977</v>
      </c>
      <c r="AG48" s="7">
        <v>0</v>
      </c>
      <c r="AH48" s="7">
        <v>24</v>
      </c>
      <c r="AI48" s="7" t="s">
        <v>1934</v>
      </c>
      <c r="AK48" s="7" t="s">
        <v>990</v>
      </c>
      <c r="AL48" s="7" t="s">
        <v>2141</v>
      </c>
      <c r="AM48" s="7">
        <v>0</v>
      </c>
      <c r="AN48" s="7">
        <v>24</v>
      </c>
      <c r="AO48" s="7" t="s">
        <v>1937</v>
      </c>
      <c r="AQ48" s="7" t="s">
        <v>990</v>
      </c>
      <c r="AR48" s="7" t="s">
        <v>2141</v>
      </c>
      <c r="AS48" s="7">
        <v>0</v>
      </c>
      <c r="AT48" s="7">
        <v>16</v>
      </c>
      <c r="AU48" s="7" t="s">
        <v>1937</v>
      </c>
      <c r="AW48" s="7" t="s">
        <v>990</v>
      </c>
      <c r="AX48" s="7" t="s">
        <v>2141</v>
      </c>
      <c r="AY48" s="7">
        <v>0</v>
      </c>
      <c r="AZ48" s="7">
        <v>16</v>
      </c>
      <c r="BA48" s="7" t="s">
        <v>1934</v>
      </c>
      <c r="BC48" s="7" t="s">
        <v>990</v>
      </c>
      <c r="BD48" s="7" t="s">
        <v>2141</v>
      </c>
      <c r="BE48" s="7">
        <v>0</v>
      </c>
      <c r="BF48" s="7">
        <v>24</v>
      </c>
      <c r="BG48" s="7" t="s">
        <v>1934</v>
      </c>
      <c r="BI48" s="7" t="s">
        <v>977</v>
      </c>
      <c r="BK48" s="7" t="s">
        <v>3756</v>
      </c>
      <c r="BM48" s="7">
        <v>0</v>
      </c>
      <c r="BO48" s="7" t="s">
        <v>976</v>
      </c>
      <c r="BP48" s="7" t="s">
        <v>972</v>
      </c>
      <c r="BQ48" s="7" t="s">
        <v>2142</v>
      </c>
      <c r="BR48" s="7" t="s">
        <v>1934</v>
      </c>
      <c r="BT48" s="7" t="s">
        <v>990</v>
      </c>
      <c r="BU48" s="7" t="s">
        <v>3764</v>
      </c>
      <c r="BV48" s="7" t="s">
        <v>976</v>
      </c>
      <c r="BW48" s="7">
        <v>0</v>
      </c>
      <c r="BX48" s="7">
        <v>56</v>
      </c>
      <c r="BY48" s="7" t="s">
        <v>976</v>
      </c>
      <c r="CD48" s="7" t="s">
        <v>1934</v>
      </c>
      <c r="CF48" s="7" t="s">
        <v>990</v>
      </c>
      <c r="CG48" s="7" t="s">
        <v>3765</v>
      </c>
      <c r="CH48" s="7">
        <v>0</v>
      </c>
      <c r="CI48" s="7">
        <v>8</v>
      </c>
      <c r="CJ48" s="7" t="s">
        <v>1934</v>
      </c>
      <c r="CL48" s="7" t="s">
        <v>990</v>
      </c>
      <c r="CM48" s="7" t="s">
        <v>3766</v>
      </c>
      <c r="CN48" s="7" t="s">
        <v>976</v>
      </c>
      <c r="CO48" s="7">
        <v>0</v>
      </c>
      <c r="CP48" s="7" t="s">
        <v>3791</v>
      </c>
      <c r="CQ48" s="7" t="s">
        <v>3767</v>
      </c>
      <c r="CR48" s="7" t="s">
        <v>972</v>
      </c>
      <c r="DL48" s="7" t="s">
        <v>972</v>
      </c>
      <c r="DT48" s="7" t="s">
        <v>1934</v>
      </c>
      <c r="DV48" s="7" t="s">
        <v>977</v>
      </c>
      <c r="DX48" s="7">
        <v>0</v>
      </c>
      <c r="DZ48" s="7" t="s">
        <v>1934</v>
      </c>
      <c r="EB48" s="7" t="s">
        <v>990</v>
      </c>
      <c r="EC48" s="7" t="s">
        <v>3768</v>
      </c>
      <c r="ED48" s="7" t="s">
        <v>976</v>
      </c>
      <c r="EE48" s="7">
        <v>0</v>
      </c>
      <c r="EG48" s="7" t="s">
        <v>994</v>
      </c>
      <c r="EH48" s="7" t="s">
        <v>2143</v>
      </c>
      <c r="EI48" s="7" t="s">
        <v>990</v>
      </c>
      <c r="EJ48" s="7" t="s">
        <v>3769</v>
      </c>
      <c r="EK48" s="7">
        <v>0</v>
      </c>
      <c r="EL48" s="7" t="s">
        <v>2042</v>
      </c>
      <c r="EO48" s="7" t="s">
        <v>1939</v>
      </c>
      <c r="EQ48" s="7" t="s">
        <v>990</v>
      </c>
      <c r="ER48" s="7" t="s">
        <v>3770</v>
      </c>
      <c r="ES48" s="7">
        <v>0</v>
      </c>
      <c r="FC48" s="7" t="s">
        <v>990</v>
      </c>
      <c r="FD48" s="7" t="s">
        <v>3771</v>
      </c>
      <c r="FE48" s="7">
        <v>0</v>
      </c>
      <c r="FG48" s="7" t="s">
        <v>3796</v>
      </c>
      <c r="FH48" s="7" t="s">
        <v>994</v>
      </c>
      <c r="FI48" s="7" t="s">
        <v>2144</v>
      </c>
      <c r="FJ48" s="7" t="s">
        <v>990</v>
      </c>
      <c r="FK48" s="7" t="s">
        <v>3772</v>
      </c>
      <c r="FL48" s="7">
        <v>0</v>
      </c>
      <c r="FN48" s="7" t="s">
        <v>3773</v>
      </c>
      <c r="FO48" s="7" t="s">
        <v>976</v>
      </c>
    </row>
    <row r="49" spans="1:172" ht="38.25" x14ac:dyDescent="0.2">
      <c r="A49" s="34" t="s">
        <v>951</v>
      </c>
      <c r="B49" s="7" t="s">
        <v>2095</v>
      </c>
      <c r="W49" s="7" t="s">
        <v>1942</v>
      </c>
      <c r="X49" s="7" t="s">
        <v>2096</v>
      </c>
      <c r="Y49" s="7" t="s">
        <v>977</v>
      </c>
      <c r="AA49" s="7">
        <v>182</v>
      </c>
      <c r="AB49" s="7">
        <v>52</v>
      </c>
      <c r="AI49" s="7" t="s">
        <v>1934</v>
      </c>
      <c r="AK49" s="7" t="s">
        <v>977</v>
      </c>
      <c r="AM49" s="7">
        <v>182</v>
      </c>
      <c r="AN49" s="7">
        <v>1</v>
      </c>
      <c r="BA49" s="7" t="s">
        <v>1934</v>
      </c>
      <c r="BC49" s="7" t="s">
        <v>977</v>
      </c>
      <c r="BE49" s="7">
        <v>182</v>
      </c>
      <c r="BF49" s="7">
        <v>52</v>
      </c>
      <c r="FO49" s="7" t="s">
        <v>976</v>
      </c>
    </row>
    <row r="50" spans="1:172" ht="102" x14ac:dyDescent="0.2">
      <c r="A50" s="34" t="s">
        <v>954</v>
      </c>
      <c r="B50" s="7" t="s">
        <v>3715</v>
      </c>
      <c r="C50" s="7" t="s">
        <v>1934</v>
      </c>
      <c r="E50" s="7" t="s">
        <v>977</v>
      </c>
      <c r="G50" s="7">
        <v>0</v>
      </c>
      <c r="H50" s="7" t="s">
        <v>976</v>
      </c>
      <c r="I50" s="7" t="s">
        <v>2106</v>
      </c>
      <c r="J50" s="7" t="s">
        <v>976</v>
      </c>
      <c r="S50" s="7" t="s">
        <v>976</v>
      </c>
      <c r="U50" s="7" t="s">
        <v>976</v>
      </c>
      <c r="W50" s="7" t="s">
        <v>1937</v>
      </c>
      <c r="Y50" s="7" t="s">
        <v>977</v>
      </c>
      <c r="AA50" s="7">
        <v>0</v>
      </c>
      <c r="AB50" s="7">
        <v>26</v>
      </c>
      <c r="AC50" s="7" t="s">
        <v>1942</v>
      </c>
      <c r="AD50" s="7" t="s">
        <v>3749</v>
      </c>
      <c r="AE50" s="7" t="s">
        <v>977</v>
      </c>
      <c r="AG50" s="7">
        <v>0</v>
      </c>
      <c r="AH50" s="7">
        <v>26</v>
      </c>
      <c r="AU50" s="7" t="s">
        <v>1938</v>
      </c>
      <c r="AW50" s="7" t="s">
        <v>977</v>
      </c>
      <c r="AY50" s="7">
        <v>365</v>
      </c>
      <c r="AZ50" s="7">
        <v>18</v>
      </c>
      <c r="BR50" s="7" t="s">
        <v>1934</v>
      </c>
      <c r="BT50" s="7" t="s">
        <v>977</v>
      </c>
      <c r="BV50" s="7" t="s">
        <v>972</v>
      </c>
      <c r="BW50" s="7">
        <v>0</v>
      </c>
      <c r="BX50" s="7" t="s">
        <v>2107</v>
      </c>
      <c r="BY50" s="7" t="s">
        <v>972</v>
      </c>
      <c r="BZ50" s="7" t="s">
        <v>976</v>
      </c>
      <c r="CJ50" s="7" t="s">
        <v>1934</v>
      </c>
      <c r="CL50" s="7" t="s">
        <v>977</v>
      </c>
      <c r="CN50" s="7" t="s">
        <v>976</v>
      </c>
      <c r="CO50" s="7">
        <v>0</v>
      </c>
      <c r="CP50" s="7" t="s">
        <v>3786</v>
      </c>
      <c r="CR50" s="7" t="s">
        <v>976</v>
      </c>
      <c r="CT50" s="7" t="s">
        <v>1955</v>
      </c>
      <c r="CU50" s="7" t="s">
        <v>1955</v>
      </c>
      <c r="CV50" s="7" t="s">
        <v>1955</v>
      </c>
      <c r="CZ50" s="7" t="s">
        <v>1955</v>
      </c>
      <c r="DA50" s="7" t="s">
        <v>1963</v>
      </c>
      <c r="DD50" s="7" t="s">
        <v>1941</v>
      </c>
      <c r="DE50" s="7" t="s">
        <v>1941</v>
      </c>
      <c r="DL50" s="7" t="s">
        <v>976</v>
      </c>
      <c r="FO50" s="7" t="s">
        <v>976</v>
      </c>
    </row>
    <row r="51" spans="1:172" ht="25.5" x14ac:dyDescent="0.2">
      <c r="A51" s="34" t="s">
        <v>944</v>
      </c>
      <c r="B51" s="7" t="s">
        <v>3720</v>
      </c>
      <c r="C51" s="7" t="s">
        <v>1934</v>
      </c>
      <c r="E51" s="7" t="s">
        <v>977</v>
      </c>
      <c r="G51" s="7">
        <v>0</v>
      </c>
      <c r="H51" s="7" t="s">
        <v>972</v>
      </c>
      <c r="I51" s="7">
        <v>5</v>
      </c>
      <c r="J51" s="7" t="s">
        <v>972</v>
      </c>
      <c r="K51" s="7" t="s">
        <v>972</v>
      </c>
      <c r="L51" s="7">
        <v>5</v>
      </c>
      <c r="S51" s="7" t="s">
        <v>976</v>
      </c>
      <c r="U51" s="7" t="s">
        <v>976</v>
      </c>
      <c r="W51" s="7" t="s">
        <v>1942</v>
      </c>
      <c r="X51" s="7" t="s">
        <v>2059</v>
      </c>
      <c r="Y51" s="7" t="s">
        <v>977</v>
      </c>
      <c r="AA51" s="7">
        <v>0</v>
      </c>
      <c r="AB51" s="7">
        <v>39</v>
      </c>
      <c r="AO51" s="7" t="s">
        <v>1942</v>
      </c>
      <c r="AP51" s="7" t="s">
        <v>2060</v>
      </c>
      <c r="AQ51" s="7" t="s">
        <v>977</v>
      </c>
      <c r="AS51" s="7">
        <v>0</v>
      </c>
      <c r="AT51" s="7">
        <v>50</v>
      </c>
      <c r="BA51" s="7" t="s">
        <v>1934</v>
      </c>
      <c r="BC51" s="7" t="s">
        <v>977</v>
      </c>
      <c r="BE51" s="7">
        <v>0</v>
      </c>
      <c r="BF51" s="7">
        <v>39</v>
      </c>
      <c r="BR51" s="7" t="s">
        <v>1934</v>
      </c>
      <c r="BT51" s="7" t="s">
        <v>977</v>
      </c>
      <c r="BV51" s="7" t="s">
        <v>972</v>
      </c>
      <c r="BW51" s="7">
        <v>0</v>
      </c>
      <c r="BX51" s="7">
        <v>28</v>
      </c>
      <c r="CD51" s="7" t="s">
        <v>1934</v>
      </c>
      <c r="CF51" s="7" t="s">
        <v>977</v>
      </c>
      <c r="CH51" s="7">
        <v>0</v>
      </c>
      <c r="CJ51" s="7" t="s">
        <v>1934</v>
      </c>
      <c r="CL51" s="7" t="s">
        <v>977</v>
      </c>
      <c r="CN51" s="7" t="s">
        <v>976</v>
      </c>
      <c r="CO51" s="7">
        <v>0</v>
      </c>
      <c r="CP51" s="7" t="s">
        <v>3788</v>
      </c>
      <c r="CR51" s="7" t="s">
        <v>972</v>
      </c>
      <c r="CS51" s="7" t="s">
        <v>1955</v>
      </c>
      <c r="DL51" s="7" t="s">
        <v>976</v>
      </c>
      <c r="FO51" s="7" t="s">
        <v>976</v>
      </c>
    </row>
    <row r="52" spans="1:172" ht="51" x14ac:dyDescent="0.2">
      <c r="A52" s="34" t="s">
        <v>950</v>
      </c>
      <c r="B52" s="7" t="s">
        <v>3719</v>
      </c>
      <c r="C52" s="7" t="s">
        <v>1934</v>
      </c>
      <c r="E52" s="7" t="s">
        <v>977</v>
      </c>
      <c r="G52" s="7">
        <v>0</v>
      </c>
      <c r="H52" s="7" t="s">
        <v>972</v>
      </c>
      <c r="I52" s="7" t="s">
        <v>2089</v>
      </c>
      <c r="J52" s="7" t="s">
        <v>972</v>
      </c>
      <c r="K52" s="7" t="s">
        <v>972</v>
      </c>
      <c r="L52" s="7">
        <v>5</v>
      </c>
      <c r="M52" s="7" t="s">
        <v>1935</v>
      </c>
      <c r="O52" s="7" t="s">
        <v>972</v>
      </c>
      <c r="P52" s="7" t="s">
        <v>2090</v>
      </c>
      <c r="Q52" s="7" t="s">
        <v>1935</v>
      </c>
      <c r="S52" s="7" t="s">
        <v>972</v>
      </c>
      <c r="T52" s="7">
        <v>5</v>
      </c>
      <c r="U52" s="7" t="s">
        <v>972</v>
      </c>
      <c r="V52" s="7">
        <v>5</v>
      </c>
      <c r="W52" s="7" t="s">
        <v>1942</v>
      </c>
      <c r="X52" s="7" t="s">
        <v>2091</v>
      </c>
      <c r="Y52" s="7" t="s">
        <v>977</v>
      </c>
      <c r="AA52" s="7">
        <v>0</v>
      </c>
      <c r="AB52" s="7">
        <v>26</v>
      </c>
      <c r="AC52" s="7" t="s">
        <v>1942</v>
      </c>
      <c r="AD52" s="7" t="s">
        <v>2092</v>
      </c>
      <c r="AE52" s="7" t="s">
        <v>977</v>
      </c>
      <c r="AG52" s="7">
        <v>0</v>
      </c>
      <c r="AH52" s="7">
        <v>26</v>
      </c>
      <c r="AI52" s="7" t="s">
        <v>1934</v>
      </c>
      <c r="AK52" s="7" t="s">
        <v>977</v>
      </c>
      <c r="AM52" s="7">
        <v>0</v>
      </c>
      <c r="AN52" s="7">
        <v>12</v>
      </c>
      <c r="AO52" s="7" t="s">
        <v>1942</v>
      </c>
      <c r="AP52" s="7" t="s">
        <v>2093</v>
      </c>
      <c r="AQ52" s="7" t="s">
        <v>977</v>
      </c>
      <c r="AS52" s="7">
        <v>0</v>
      </c>
      <c r="AT52" s="7">
        <v>50</v>
      </c>
      <c r="BA52" s="7" t="s">
        <v>1934</v>
      </c>
      <c r="BC52" s="7" t="s">
        <v>977</v>
      </c>
      <c r="BE52" s="7">
        <v>0</v>
      </c>
      <c r="BF52" s="7">
        <v>12</v>
      </c>
      <c r="BR52" s="7" t="s">
        <v>1934</v>
      </c>
      <c r="BT52" s="7" t="s">
        <v>977</v>
      </c>
      <c r="BV52" s="7" t="s">
        <v>972</v>
      </c>
      <c r="BW52" s="7">
        <v>0</v>
      </c>
      <c r="BX52" s="7" t="s">
        <v>2094</v>
      </c>
      <c r="BY52" s="7" t="s">
        <v>976</v>
      </c>
      <c r="CJ52" s="7" t="s">
        <v>1934</v>
      </c>
      <c r="CL52" s="7" t="s">
        <v>977</v>
      </c>
      <c r="CN52" s="7" t="s">
        <v>976</v>
      </c>
      <c r="CO52" s="7">
        <v>0</v>
      </c>
      <c r="CP52" s="7" t="s">
        <v>3782</v>
      </c>
      <c r="CR52" s="7" t="s">
        <v>972</v>
      </c>
      <c r="CS52" s="7" t="s">
        <v>1948</v>
      </c>
      <c r="DL52" s="7" t="s">
        <v>976</v>
      </c>
      <c r="DZ52" s="7" t="s">
        <v>1934</v>
      </c>
      <c r="EB52" s="7" t="s">
        <v>977</v>
      </c>
      <c r="ED52" s="7" t="s">
        <v>972</v>
      </c>
      <c r="EE52" s="7">
        <v>0</v>
      </c>
      <c r="FN52" s="7" t="s">
        <v>3798</v>
      </c>
      <c r="FO52" s="7" t="s">
        <v>976</v>
      </c>
    </row>
    <row r="53" spans="1:172" ht="51" x14ac:dyDescent="0.2">
      <c r="A53" s="34" t="s">
        <v>940</v>
      </c>
      <c r="B53" s="7" t="s">
        <v>3716</v>
      </c>
      <c r="C53" s="7" t="s">
        <v>1934</v>
      </c>
      <c r="E53" s="7" t="s">
        <v>977</v>
      </c>
      <c r="G53" s="7">
        <v>0</v>
      </c>
      <c r="H53" s="7" t="s">
        <v>972</v>
      </c>
      <c r="I53" s="7">
        <v>5</v>
      </c>
      <c r="J53" s="7" t="s">
        <v>972</v>
      </c>
      <c r="K53" s="7" t="s">
        <v>972</v>
      </c>
      <c r="L53" s="7">
        <v>5</v>
      </c>
      <c r="M53" s="7" t="s">
        <v>1935</v>
      </c>
      <c r="O53" s="7" t="s">
        <v>972</v>
      </c>
      <c r="P53" s="7" t="s">
        <v>1950</v>
      </c>
      <c r="Q53" s="7" t="s">
        <v>1935</v>
      </c>
      <c r="S53" s="7" t="s">
        <v>976</v>
      </c>
      <c r="U53" s="7" t="s">
        <v>976</v>
      </c>
      <c r="W53" s="7" t="s">
        <v>1937</v>
      </c>
      <c r="Y53" s="7" t="s">
        <v>977</v>
      </c>
      <c r="AA53" s="7">
        <v>182</v>
      </c>
      <c r="AB53" s="7">
        <v>26</v>
      </c>
      <c r="AC53" s="7" t="s">
        <v>1937</v>
      </c>
      <c r="AE53" s="7" t="s">
        <v>977</v>
      </c>
      <c r="AG53" s="7">
        <v>182</v>
      </c>
      <c r="AH53" s="7">
        <v>26</v>
      </c>
      <c r="AI53" s="7" t="s">
        <v>1934</v>
      </c>
      <c r="AK53" s="7" t="s">
        <v>977</v>
      </c>
      <c r="AM53" s="7">
        <v>0</v>
      </c>
      <c r="AN53" s="7">
        <v>2</v>
      </c>
      <c r="AO53" s="7" t="s">
        <v>1937</v>
      </c>
      <c r="AQ53" s="7" t="s">
        <v>977</v>
      </c>
      <c r="AS53" s="7">
        <v>182</v>
      </c>
      <c r="AT53" s="7">
        <v>50</v>
      </c>
      <c r="AU53" s="7" t="s">
        <v>1938</v>
      </c>
      <c r="AW53" s="7" t="s">
        <v>977</v>
      </c>
      <c r="AY53" s="7">
        <v>0</v>
      </c>
      <c r="AZ53" s="7">
        <v>18</v>
      </c>
      <c r="BA53" s="7" t="s">
        <v>1934</v>
      </c>
      <c r="BC53" s="7" t="s">
        <v>977</v>
      </c>
      <c r="BE53" s="7">
        <v>182</v>
      </c>
      <c r="BF53" s="7">
        <v>52</v>
      </c>
      <c r="BG53" s="7" t="s">
        <v>1934</v>
      </c>
      <c r="BI53" s="7" t="s">
        <v>977</v>
      </c>
      <c r="BK53" s="7" t="s">
        <v>2049</v>
      </c>
      <c r="BM53" s="7">
        <v>0</v>
      </c>
      <c r="BN53" s="7">
        <v>2</v>
      </c>
      <c r="BO53" s="7" t="s">
        <v>976</v>
      </c>
      <c r="BP53" s="7" t="s">
        <v>976</v>
      </c>
      <c r="BR53" s="7" t="s">
        <v>1934</v>
      </c>
      <c r="BT53" s="7" t="s">
        <v>977</v>
      </c>
      <c r="BV53" s="7" t="s">
        <v>972</v>
      </c>
      <c r="BW53" s="7">
        <v>0</v>
      </c>
      <c r="BX53" s="7" t="s">
        <v>2050</v>
      </c>
      <c r="BY53" s="7" t="s">
        <v>976</v>
      </c>
      <c r="CJ53" s="7" t="s">
        <v>1934</v>
      </c>
      <c r="CL53" s="7" t="s">
        <v>977</v>
      </c>
      <c r="CN53" s="7" t="s">
        <v>976</v>
      </c>
      <c r="CO53" s="7">
        <v>0</v>
      </c>
      <c r="CP53" s="7" t="s">
        <v>3759</v>
      </c>
      <c r="CR53" s="7" t="s">
        <v>972</v>
      </c>
      <c r="CS53" s="7" t="s">
        <v>1959</v>
      </c>
      <c r="DL53" s="7" t="s">
        <v>976</v>
      </c>
      <c r="DT53" s="7" t="s">
        <v>1934</v>
      </c>
      <c r="DV53" s="7" t="s">
        <v>977</v>
      </c>
      <c r="DX53" s="7">
        <v>0</v>
      </c>
      <c r="DY53" s="7">
        <v>2</v>
      </c>
      <c r="DZ53" s="7" t="s">
        <v>1934</v>
      </c>
      <c r="EB53" s="7" t="s">
        <v>977</v>
      </c>
      <c r="ED53" s="7" t="s">
        <v>972</v>
      </c>
      <c r="EE53" s="7">
        <v>0</v>
      </c>
      <c r="EF53" s="7">
        <v>3</v>
      </c>
      <c r="EO53" s="7" t="s">
        <v>1934</v>
      </c>
      <c r="EQ53" s="7" t="s">
        <v>977</v>
      </c>
      <c r="ES53" s="7">
        <v>0</v>
      </c>
      <c r="ET53" s="7">
        <v>5</v>
      </c>
      <c r="FC53" s="7" t="s">
        <v>977</v>
      </c>
      <c r="FE53" s="7">
        <v>182</v>
      </c>
      <c r="FF53" s="7">
        <v>2</v>
      </c>
      <c r="FO53" s="7" t="s">
        <v>976</v>
      </c>
    </row>
    <row r="54" spans="1:172" ht="63.75" x14ac:dyDescent="0.2">
      <c r="A54" s="34" t="s">
        <v>960</v>
      </c>
      <c r="B54" s="7" t="s">
        <v>3723</v>
      </c>
      <c r="C54" s="7" t="s">
        <v>1934</v>
      </c>
      <c r="E54" s="7" t="s">
        <v>977</v>
      </c>
      <c r="H54" s="7" t="s">
        <v>976</v>
      </c>
      <c r="I54" s="7" t="s">
        <v>2121</v>
      </c>
      <c r="J54" s="7" t="s">
        <v>972</v>
      </c>
      <c r="K54" s="7" t="s">
        <v>972</v>
      </c>
      <c r="L54" s="7">
        <v>5</v>
      </c>
      <c r="M54" s="7" t="s">
        <v>1935</v>
      </c>
      <c r="O54" s="7" t="s">
        <v>972</v>
      </c>
      <c r="P54" s="7" t="s">
        <v>2013</v>
      </c>
      <c r="Q54" s="7" t="s">
        <v>1935</v>
      </c>
      <c r="S54" s="7" t="s">
        <v>972</v>
      </c>
      <c r="T54" s="7">
        <v>5</v>
      </c>
      <c r="U54" s="7" t="s">
        <v>972</v>
      </c>
      <c r="V54" s="7">
        <v>5</v>
      </c>
      <c r="W54" s="7" t="s">
        <v>1937</v>
      </c>
      <c r="Y54" s="7" t="s">
        <v>977</v>
      </c>
      <c r="AB54" s="7">
        <v>52</v>
      </c>
      <c r="AC54" s="7" t="s">
        <v>1942</v>
      </c>
      <c r="AE54" s="7" t="s">
        <v>977</v>
      </c>
      <c r="AO54" s="7" t="s">
        <v>1942</v>
      </c>
      <c r="AQ54" s="7" t="s">
        <v>977</v>
      </c>
      <c r="AU54" s="7" t="s">
        <v>1938</v>
      </c>
      <c r="AW54" s="7" t="s">
        <v>977</v>
      </c>
      <c r="BA54" s="7" t="s">
        <v>1934</v>
      </c>
      <c r="BC54" s="7" t="s">
        <v>977</v>
      </c>
      <c r="BG54" s="7" t="s">
        <v>1934</v>
      </c>
      <c r="BI54" s="7" t="s">
        <v>977</v>
      </c>
      <c r="BK54" s="7" t="s">
        <v>3759</v>
      </c>
      <c r="BN54" s="7">
        <v>4</v>
      </c>
      <c r="BO54" s="7" t="s">
        <v>976</v>
      </c>
      <c r="BP54" s="7" t="s">
        <v>972</v>
      </c>
      <c r="BQ54" s="7" t="s">
        <v>2122</v>
      </c>
      <c r="BR54" s="7" t="s">
        <v>1934</v>
      </c>
      <c r="BT54" s="7" t="s">
        <v>977</v>
      </c>
      <c r="BV54" s="7" t="s">
        <v>972</v>
      </c>
      <c r="BY54" s="7" t="s">
        <v>976</v>
      </c>
      <c r="CJ54" s="7" t="s">
        <v>1934</v>
      </c>
      <c r="CL54" s="7" t="s">
        <v>977</v>
      </c>
      <c r="CN54" s="7" t="s">
        <v>976</v>
      </c>
      <c r="CP54" s="7" t="s">
        <v>3790</v>
      </c>
      <c r="CQ54" s="7" t="s">
        <v>2123</v>
      </c>
      <c r="CR54" s="7" t="s">
        <v>976</v>
      </c>
      <c r="CT54" s="7" t="s">
        <v>1959</v>
      </c>
      <c r="CU54" s="7" t="s">
        <v>1959</v>
      </c>
      <c r="CV54" s="7" t="s">
        <v>1959</v>
      </c>
      <c r="CW54" s="7" t="s">
        <v>1959</v>
      </c>
      <c r="CX54" s="7" t="s">
        <v>1959</v>
      </c>
      <c r="CY54" s="7" t="s">
        <v>1959</v>
      </c>
      <c r="CZ54" s="7" t="s">
        <v>1959</v>
      </c>
      <c r="DA54" s="7" t="s">
        <v>1959</v>
      </c>
      <c r="DB54" s="7" t="s">
        <v>1959</v>
      </c>
      <c r="DC54" s="7" t="s">
        <v>1948</v>
      </c>
      <c r="DD54" s="7" t="s">
        <v>1959</v>
      </c>
      <c r="DE54" s="7" t="s">
        <v>1948</v>
      </c>
      <c r="DF54" s="7" t="s">
        <v>1948</v>
      </c>
      <c r="DG54" s="7" t="s">
        <v>1948</v>
      </c>
      <c r="DH54" s="7" t="s">
        <v>1948</v>
      </c>
      <c r="DJ54" s="7" t="s">
        <v>1948</v>
      </c>
      <c r="DK54" s="7" t="s">
        <v>2123</v>
      </c>
      <c r="DL54" s="7" t="s">
        <v>976</v>
      </c>
      <c r="DT54" s="7" t="s">
        <v>1934</v>
      </c>
      <c r="DV54" s="7" t="s">
        <v>977</v>
      </c>
      <c r="DY54" s="7">
        <v>2</v>
      </c>
      <c r="DZ54" s="7" t="s">
        <v>1934</v>
      </c>
      <c r="EB54" s="7" t="s">
        <v>977</v>
      </c>
      <c r="ED54" s="7" t="s">
        <v>972</v>
      </c>
      <c r="EG54" s="7" t="s">
        <v>1934</v>
      </c>
      <c r="EI54" s="7" t="s">
        <v>977</v>
      </c>
      <c r="EL54" s="7" t="s">
        <v>1979</v>
      </c>
      <c r="EO54" s="7" t="s">
        <v>1934</v>
      </c>
      <c r="EQ54" s="7" t="s">
        <v>977</v>
      </c>
      <c r="ET54" s="7">
        <v>3</v>
      </c>
      <c r="EU54" s="7" t="s">
        <v>1934</v>
      </c>
      <c r="EW54" s="7" t="s">
        <v>2124</v>
      </c>
      <c r="EY54" s="7">
        <v>10</v>
      </c>
      <c r="EZ54" s="7">
        <v>8</v>
      </c>
      <c r="FA54" s="7" t="s">
        <v>2044</v>
      </c>
      <c r="FC54" s="7" t="s">
        <v>977</v>
      </c>
    </row>
    <row r="55" spans="1:172" ht="63.75" x14ac:dyDescent="0.2">
      <c r="A55" s="34" t="s">
        <v>916</v>
      </c>
      <c r="B55" s="7" t="s">
        <v>3703</v>
      </c>
      <c r="C55" s="7" t="s">
        <v>1934</v>
      </c>
      <c r="E55" s="7" t="s">
        <v>977</v>
      </c>
      <c r="G55" s="7">
        <v>0</v>
      </c>
      <c r="H55" s="7" t="s">
        <v>976</v>
      </c>
      <c r="I55" s="7" t="s">
        <v>3743</v>
      </c>
      <c r="J55" s="7" t="s">
        <v>972</v>
      </c>
      <c r="K55" s="7" t="s">
        <v>972</v>
      </c>
      <c r="L55" s="7">
        <v>10</v>
      </c>
      <c r="M55" s="7" t="s">
        <v>1935</v>
      </c>
      <c r="O55" s="7" t="s">
        <v>972</v>
      </c>
      <c r="P55" s="7" t="s">
        <v>3744</v>
      </c>
      <c r="Q55" s="7" t="s">
        <v>1935</v>
      </c>
      <c r="S55" s="7" t="s">
        <v>976</v>
      </c>
      <c r="U55" s="7" t="s">
        <v>976</v>
      </c>
      <c r="W55" s="7" t="s">
        <v>1937</v>
      </c>
      <c r="Y55" s="7" t="s">
        <v>977</v>
      </c>
      <c r="AA55" s="7">
        <v>0</v>
      </c>
      <c r="AB55" s="7">
        <v>52</v>
      </c>
      <c r="AO55" s="7" t="s">
        <v>1942</v>
      </c>
      <c r="AP55" s="7" t="s">
        <v>1956</v>
      </c>
      <c r="AQ55" s="7" t="s">
        <v>977</v>
      </c>
      <c r="AS55" s="7">
        <v>182</v>
      </c>
      <c r="AT55" s="7">
        <v>50</v>
      </c>
      <c r="AU55" s="7" t="s">
        <v>1938</v>
      </c>
      <c r="AW55" s="7" t="s">
        <v>977</v>
      </c>
      <c r="AY55" s="7">
        <v>365</v>
      </c>
      <c r="AZ55" s="7">
        <v>18</v>
      </c>
      <c r="BA55" s="7" t="s">
        <v>1934</v>
      </c>
      <c r="BC55" s="7" t="s">
        <v>977</v>
      </c>
      <c r="BE55" s="7">
        <v>0</v>
      </c>
      <c r="BF55" s="7">
        <v>52</v>
      </c>
      <c r="BR55" s="7" t="s">
        <v>1934</v>
      </c>
      <c r="BT55" s="7" t="s">
        <v>977</v>
      </c>
      <c r="BV55" s="7" t="s">
        <v>976</v>
      </c>
      <c r="BW55" s="7">
        <v>0</v>
      </c>
      <c r="BX55" s="7" t="s">
        <v>1957</v>
      </c>
      <c r="BY55" s="7" t="s">
        <v>976</v>
      </c>
      <c r="CJ55" s="7" t="s">
        <v>1934</v>
      </c>
      <c r="CL55" s="7" t="s">
        <v>977</v>
      </c>
      <c r="CN55" s="7" t="s">
        <v>976</v>
      </c>
      <c r="CO55" s="7">
        <v>0</v>
      </c>
      <c r="CP55" s="7" t="s">
        <v>1958</v>
      </c>
      <c r="CR55" s="7" t="s">
        <v>972</v>
      </c>
      <c r="CS55" s="7" t="s">
        <v>1959</v>
      </c>
      <c r="DT55" s="7" t="s">
        <v>1934</v>
      </c>
      <c r="DV55" s="7" t="s">
        <v>977</v>
      </c>
      <c r="DX55" s="7">
        <v>0</v>
      </c>
      <c r="DY55" s="7">
        <v>2</v>
      </c>
      <c r="DZ55" s="7" t="s">
        <v>1934</v>
      </c>
      <c r="EB55" s="7" t="s">
        <v>977</v>
      </c>
      <c r="ED55" s="7" t="s">
        <v>972</v>
      </c>
      <c r="EE55" s="7">
        <v>0</v>
      </c>
      <c r="EF55" s="7">
        <v>14</v>
      </c>
      <c r="FC55" s="7" t="s">
        <v>977</v>
      </c>
      <c r="FE55" s="7">
        <v>0</v>
      </c>
      <c r="FF55" s="7">
        <v>2</v>
      </c>
      <c r="FO55" s="7" t="s">
        <v>976</v>
      </c>
    </row>
    <row r="56" spans="1:172" ht="51" x14ac:dyDescent="0.2">
      <c r="A56" s="34" t="s">
        <v>946</v>
      </c>
      <c r="B56" s="7" t="s">
        <v>3727</v>
      </c>
      <c r="C56" s="7" t="s">
        <v>1934</v>
      </c>
      <c r="E56" s="7" t="s">
        <v>977</v>
      </c>
      <c r="G56" s="7">
        <v>0</v>
      </c>
      <c r="H56" s="7" t="s">
        <v>972</v>
      </c>
      <c r="I56" s="7" t="s">
        <v>2066</v>
      </c>
      <c r="J56" s="7" t="s">
        <v>972</v>
      </c>
      <c r="K56" s="7" t="s">
        <v>972</v>
      </c>
      <c r="L56" s="7">
        <v>5</v>
      </c>
      <c r="M56" s="7" t="s">
        <v>1935</v>
      </c>
      <c r="O56" s="7" t="s">
        <v>972</v>
      </c>
      <c r="P56" s="7" t="s">
        <v>2067</v>
      </c>
      <c r="Q56" s="7" t="s">
        <v>1935</v>
      </c>
      <c r="S56" s="7" t="s">
        <v>976</v>
      </c>
      <c r="U56" s="7" t="s">
        <v>976</v>
      </c>
      <c r="W56" s="7" t="s">
        <v>1937</v>
      </c>
      <c r="Y56" s="7" t="s">
        <v>977</v>
      </c>
      <c r="AA56" s="7">
        <v>0</v>
      </c>
      <c r="AB56" s="7">
        <v>22</v>
      </c>
      <c r="AC56" s="7" t="s">
        <v>1942</v>
      </c>
      <c r="AD56" s="7" t="s">
        <v>2068</v>
      </c>
      <c r="AE56" s="7" t="s">
        <v>977</v>
      </c>
      <c r="AG56" s="7">
        <v>0</v>
      </c>
      <c r="AH56" s="7">
        <v>30</v>
      </c>
      <c r="AI56" s="7" t="s">
        <v>1934</v>
      </c>
      <c r="AK56" s="7" t="s">
        <v>977</v>
      </c>
      <c r="AM56" s="7">
        <v>0</v>
      </c>
      <c r="AN56" s="7">
        <v>12</v>
      </c>
      <c r="AO56" s="7" t="s">
        <v>1937</v>
      </c>
      <c r="AQ56" s="7" t="s">
        <v>977</v>
      </c>
      <c r="AS56" s="7">
        <v>0</v>
      </c>
      <c r="AT56" s="7">
        <v>50</v>
      </c>
      <c r="AU56" s="7" t="s">
        <v>1938</v>
      </c>
      <c r="AW56" s="7" t="s">
        <v>977</v>
      </c>
      <c r="AY56" s="7">
        <v>0</v>
      </c>
      <c r="AZ56" s="7">
        <v>1</v>
      </c>
      <c r="BA56" s="7" t="s">
        <v>1934</v>
      </c>
      <c r="BC56" s="7" t="s">
        <v>977</v>
      </c>
      <c r="BE56" s="7">
        <v>0</v>
      </c>
      <c r="BF56" s="7">
        <v>52</v>
      </c>
      <c r="BR56" s="7" t="s">
        <v>1934</v>
      </c>
      <c r="BT56" s="7" t="s">
        <v>977</v>
      </c>
      <c r="BV56" s="7" t="s">
        <v>972</v>
      </c>
      <c r="BW56" s="7">
        <v>182</v>
      </c>
      <c r="BX56" s="7">
        <v>26</v>
      </c>
      <c r="BY56" s="7" t="s">
        <v>976</v>
      </c>
      <c r="CD56" s="7" t="s">
        <v>1934</v>
      </c>
      <c r="CF56" s="7" t="s">
        <v>977</v>
      </c>
      <c r="CH56" s="7">
        <v>0</v>
      </c>
      <c r="CI56" s="7">
        <v>1</v>
      </c>
      <c r="CJ56" s="7" t="s">
        <v>1934</v>
      </c>
      <c r="CL56" s="7" t="s">
        <v>977</v>
      </c>
      <c r="CN56" s="7" t="s">
        <v>976</v>
      </c>
      <c r="CO56" s="7">
        <v>0</v>
      </c>
      <c r="CP56" s="7" t="s">
        <v>3781</v>
      </c>
      <c r="CR56" s="7" t="s">
        <v>976</v>
      </c>
      <c r="CT56" s="7" t="s">
        <v>1948</v>
      </c>
      <c r="CU56" s="7" t="s">
        <v>1948</v>
      </c>
      <c r="CV56" s="7" t="s">
        <v>1948</v>
      </c>
      <c r="CW56" s="7" t="s">
        <v>1948</v>
      </c>
      <c r="CX56" s="7" t="s">
        <v>1948</v>
      </c>
      <c r="CY56" s="7" t="s">
        <v>1955</v>
      </c>
      <c r="CZ56" s="7" t="s">
        <v>1948</v>
      </c>
      <c r="DA56" s="7" t="s">
        <v>1955</v>
      </c>
      <c r="DB56" s="7" t="s">
        <v>1955</v>
      </c>
      <c r="DC56" s="7" t="s">
        <v>1955</v>
      </c>
      <c r="DD56" s="7" t="s">
        <v>1948</v>
      </c>
      <c r="DE56" s="7" t="s">
        <v>1955</v>
      </c>
      <c r="DF56" s="7" t="s">
        <v>1955</v>
      </c>
      <c r="DG56" s="7" t="s">
        <v>1955</v>
      </c>
      <c r="DH56" s="7" t="s">
        <v>1955</v>
      </c>
      <c r="DL56" s="7" t="s">
        <v>972</v>
      </c>
      <c r="DM56" s="7" t="s">
        <v>1941</v>
      </c>
      <c r="DZ56" s="7" t="s">
        <v>1934</v>
      </c>
      <c r="EB56" s="7" t="s">
        <v>977</v>
      </c>
      <c r="EE56" s="7">
        <v>0</v>
      </c>
      <c r="FC56" s="7" t="s">
        <v>977</v>
      </c>
      <c r="FE56" s="7">
        <v>0</v>
      </c>
      <c r="FO56" s="7" t="s">
        <v>976</v>
      </c>
    </row>
    <row r="57" spans="1:172" ht="76.5" x14ac:dyDescent="0.2">
      <c r="A57" s="34" t="s">
        <v>919</v>
      </c>
      <c r="B57" s="7" t="s">
        <v>3713</v>
      </c>
      <c r="C57" s="7" t="s">
        <v>1934</v>
      </c>
      <c r="E57" s="7" t="s">
        <v>977</v>
      </c>
      <c r="G57" s="7">
        <v>0</v>
      </c>
      <c r="H57" s="7" t="s">
        <v>972</v>
      </c>
      <c r="I57" s="7" t="s">
        <v>1973</v>
      </c>
      <c r="J57" s="7" t="s">
        <v>972</v>
      </c>
      <c r="K57" s="7" t="s">
        <v>972</v>
      </c>
      <c r="L57" s="7">
        <v>5</v>
      </c>
      <c r="M57" s="7" t="s">
        <v>1935</v>
      </c>
      <c r="O57" s="7" t="s">
        <v>972</v>
      </c>
      <c r="P57" s="7" t="s">
        <v>1974</v>
      </c>
      <c r="Q57" s="7" t="s">
        <v>1935</v>
      </c>
      <c r="S57" s="7" t="s">
        <v>972</v>
      </c>
      <c r="T57" s="7">
        <v>10</v>
      </c>
      <c r="U57" s="7" t="s">
        <v>972</v>
      </c>
      <c r="V57" s="7">
        <v>5</v>
      </c>
      <c r="W57" s="7" t="s">
        <v>1937</v>
      </c>
      <c r="Y57" s="7" t="s">
        <v>977</v>
      </c>
      <c r="AA57" s="7">
        <v>365</v>
      </c>
      <c r="AB57" s="7">
        <v>26</v>
      </c>
      <c r="AI57" s="7" t="s">
        <v>1934</v>
      </c>
      <c r="AK57" s="7" t="s">
        <v>977</v>
      </c>
      <c r="AM57" s="7">
        <v>365</v>
      </c>
      <c r="AN57" s="7">
        <v>24</v>
      </c>
      <c r="BA57" s="7" t="s">
        <v>1934</v>
      </c>
      <c r="BC57" s="7" t="s">
        <v>977</v>
      </c>
      <c r="BE57" s="7">
        <v>365</v>
      </c>
      <c r="BF57" s="7">
        <v>26</v>
      </c>
      <c r="BR57" s="7" t="s">
        <v>994</v>
      </c>
      <c r="BS57" s="7" t="s">
        <v>1975</v>
      </c>
      <c r="BT57" s="7" t="s">
        <v>977</v>
      </c>
      <c r="BV57" s="7" t="s">
        <v>972</v>
      </c>
      <c r="BW57" s="7">
        <v>90</v>
      </c>
      <c r="BX57" s="7" t="s">
        <v>1976</v>
      </c>
      <c r="BY57" s="7" t="s">
        <v>976</v>
      </c>
      <c r="CD57" s="7" t="s">
        <v>1934</v>
      </c>
      <c r="CF57" s="7" t="s">
        <v>977</v>
      </c>
      <c r="CH57" s="7">
        <v>0</v>
      </c>
      <c r="CI57" s="7">
        <v>0.2</v>
      </c>
      <c r="CJ57" s="7" t="s">
        <v>1934</v>
      </c>
      <c r="CL57" s="7" t="s">
        <v>977</v>
      </c>
      <c r="CN57" s="7" t="s">
        <v>976</v>
      </c>
      <c r="CO57" s="7">
        <v>0</v>
      </c>
      <c r="CP57" s="7" t="s">
        <v>1977</v>
      </c>
      <c r="CR57" s="7" t="s">
        <v>972</v>
      </c>
      <c r="CS57" s="7" t="s">
        <v>1959</v>
      </c>
      <c r="DL57" s="7" t="s">
        <v>976</v>
      </c>
      <c r="DT57" s="7" t="s">
        <v>1934</v>
      </c>
      <c r="DV57" s="7" t="s">
        <v>977</v>
      </c>
      <c r="DX57" s="7">
        <v>0</v>
      </c>
      <c r="DY57" s="7">
        <v>2</v>
      </c>
      <c r="DZ57" s="7" t="s">
        <v>1934</v>
      </c>
      <c r="EB57" s="7" t="s">
        <v>977</v>
      </c>
      <c r="ED57" s="7" t="s">
        <v>972</v>
      </c>
      <c r="EE57" s="7">
        <v>0</v>
      </c>
      <c r="EF57" s="7">
        <v>20</v>
      </c>
      <c r="EG57" s="7" t="s">
        <v>994</v>
      </c>
      <c r="EH57" s="7" t="s">
        <v>1978</v>
      </c>
      <c r="EI57" s="7" t="s">
        <v>977</v>
      </c>
      <c r="EK57" s="7">
        <v>0</v>
      </c>
      <c r="EL57" s="7" t="s">
        <v>1979</v>
      </c>
      <c r="EN57" s="7">
        <v>0.6</v>
      </c>
      <c r="FC57" s="7" t="s">
        <v>977</v>
      </c>
      <c r="FE57" s="7">
        <v>0</v>
      </c>
      <c r="FF57" s="7">
        <v>4</v>
      </c>
      <c r="FN57" s="7" t="s">
        <v>1980</v>
      </c>
      <c r="FO57" s="7" t="s">
        <v>976</v>
      </c>
    </row>
    <row r="58" spans="1:172" ht="38.25" x14ac:dyDescent="0.2">
      <c r="A58" s="34" t="s">
        <v>929</v>
      </c>
      <c r="B58" s="7" t="s">
        <v>3704</v>
      </c>
      <c r="C58" s="7" t="s">
        <v>1934</v>
      </c>
      <c r="E58" s="7" t="s">
        <v>977</v>
      </c>
      <c r="G58" s="7">
        <v>0</v>
      </c>
      <c r="H58" s="7" t="s">
        <v>972</v>
      </c>
      <c r="I58" s="7" t="s">
        <v>2007</v>
      </c>
      <c r="J58" s="7" t="s">
        <v>972</v>
      </c>
      <c r="K58" s="7" t="s">
        <v>976</v>
      </c>
      <c r="O58" s="7" t="s">
        <v>976</v>
      </c>
      <c r="S58" s="7" t="s">
        <v>976</v>
      </c>
      <c r="U58" s="7" t="s">
        <v>976</v>
      </c>
      <c r="W58" s="7" t="s">
        <v>1937</v>
      </c>
      <c r="Y58" s="7" t="s">
        <v>977</v>
      </c>
      <c r="AA58" s="7">
        <v>0</v>
      </c>
      <c r="AB58" s="7">
        <v>39</v>
      </c>
      <c r="AC58" s="7" t="s">
        <v>1937</v>
      </c>
      <c r="AE58" s="7" t="s">
        <v>977</v>
      </c>
      <c r="AG58" s="7">
        <v>0</v>
      </c>
      <c r="AH58" s="7">
        <v>26</v>
      </c>
      <c r="AU58" s="7" t="s">
        <v>1938</v>
      </c>
      <c r="AW58" s="7" t="s">
        <v>977</v>
      </c>
      <c r="AY58" s="7">
        <v>0</v>
      </c>
      <c r="AZ58" s="7">
        <v>18</v>
      </c>
      <c r="BG58" s="7" t="s">
        <v>1939</v>
      </c>
      <c r="BI58" s="7" t="s">
        <v>977</v>
      </c>
      <c r="BK58" s="7" t="s">
        <v>2008</v>
      </c>
      <c r="BM58" s="7">
        <v>0</v>
      </c>
      <c r="BO58" s="7" t="s">
        <v>972</v>
      </c>
      <c r="BP58" s="7" t="s">
        <v>976</v>
      </c>
      <c r="BR58" s="7" t="s">
        <v>1934</v>
      </c>
      <c r="BT58" s="7" t="s">
        <v>977</v>
      </c>
      <c r="BW58" s="7">
        <v>0</v>
      </c>
      <c r="BX58" s="7">
        <v>26</v>
      </c>
      <c r="BY58" s="7" t="s">
        <v>976</v>
      </c>
      <c r="CJ58" s="7" t="s">
        <v>1934</v>
      </c>
      <c r="CL58" s="7" t="s">
        <v>977</v>
      </c>
      <c r="CN58" s="7" t="s">
        <v>976</v>
      </c>
      <c r="CO58" s="7">
        <v>0</v>
      </c>
      <c r="CP58" s="7" t="s">
        <v>3760</v>
      </c>
      <c r="CR58" s="7" t="s">
        <v>972</v>
      </c>
      <c r="CS58" s="7" t="s">
        <v>1948</v>
      </c>
      <c r="DL58" s="7" t="s">
        <v>976</v>
      </c>
      <c r="DZ58" s="7" t="s">
        <v>1934</v>
      </c>
      <c r="EB58" s="7" t="s">
        <v>977</v>
      </c>
      <c r="ED58" s="7" t="s">
        <v>976</v>
      </c>
      <c r="EE58" s="7">
        <v>0</v>
      </c>
      <c r="FC58" s="7" t="s">
        <v>977</v>
      </c>
      <c r="FE58" s="7">
        <v>0</v>
      </c>
      <c r="FO58" s="7" t="s">
        <v>976</v>
      </c>
    </row>
    <row r="59" spans="1:172" s="37" customFormat="1" ht="63.75" x14ac:dyDescent="0.2">
      <c r="A59" s="34" t="s">
        <v>943</v>
      </c>
      <c r="B59" s="7" t="s">
        <v>3728</v>
      </c>
      <c r="C59" s="7"/>
      <c r="D59" s="7"/>
      <c r="E59" s="7"/>
      <c r="F59" s="7"/>
      <c r="G59" s="7"/>
      <c r="H59" s="7"/>
      <c r="I59" s="7"/>
      <c r="J59" s="7"/>
      <c r="K59" s="7"/>
      <c r="L59" s="7"/>
      <c r="M59" s="7"/>
      <c r="N59" s="7"/>
      <c r="O59" s="7"/>
      <c r="P59" s="7"/>
      <c r="Q59" s="7"/>
      <c r="R59" s="7"/>
      <c r="S59" s="7"/>
      <c r="T59" s="7"/>
      <c r="U59" s="7"/>
      <c r="V59" s="7"/>
      <c r="W59" s="7" t="s">
        <v>1942</v>
      </c>
      <c r="X59" s="7" t="s">
        <v>2056</v>
      </c>
      <c r="Y59" s="7" t="s">
        <v>977</v>
      </c>
      <c r="Z59" s="7"/>
      <c r="AA59" s="7">
        <v>182</v>
      </c>
      <c r="AB59" s="7">
        <v>52</v>
      </c>
      <c r="AC59" s="7" t="s">
        <v>1938</v>
      </c>
      <c r="AD59" s="7"/>
      <c r="AE59" s="7" t="s">
        <v>977</v>
      </c>
      <c r="AF59" s="7"/>
      <c r="AG59" s="7">
        <v>182</v>
      </c>
      <c r="AH59" s="7">
        <v>13</v>
      </c>
      <c r="AI59" s="7" t="s">
        <v>1934</v>
      </c>
      <c r="AJ59" s="7"/>
      <c r="AK59" s="7" t="s">
        <v>977</v>
      </c>
      <c r="AL59" s="7"/>
      <c r="AM59" s="7">
        <v>182</v>
      </c>
      <c r="AN59" s="7">
        <v>1</v>
      </c>
      <c r="AO59" s="7" t="s">
        <v>1942</v>
      </c>
      <c r="AP59" s="7" t="s">
        <v>2057</v>
      </c>
      <c r="AQ59" s="7" t="s">
        <v>977</v>
      </c>
      <c r="AR59" s="7"/>
      <c r="AS59" s="7">
        <v>182</v>
      </c>
      <c r="AT59" s="7">
        <v>50</v>
      </c>
      <c r="AU59" s="7" t="s">
        <v>1938</v>
      </c>
      <c r="AV59" s="7"/>
      <c r="AW59" s="7" t="s">
        <v>977</v>
      </c>
      <c r="AX59" s="7"/>
      <c r="AY59" s="7">
        <v>365</v>
      </c>
      <c r="AZ59" s="7">
        <v>4</v>
      </c>
      <c r="BA59" s="7" t="s">
        <v>1934</v>
      </c>
      <c r="BB59" s="7"/>
      <c r="BC59" s="7" t="s">
        <v>977</v>
      </c>
      <c r="BD59" s="7"/>
      <c r="BE59" s="7">
        <v>182</v>
      </c>
      <c r="BF59" s="7">
        <v>52</v>
      </c>
      <c r="BG59" s="7"/>
      <c r="BH59" s="7"/>
      <c r="BI59" s="7"/>
      <c r="BJ59" s="7"/>
      <c r="BK59" s="7"/>
      <c r="BL59" s="7"/>
      <c r="BM59" s="7"/>
      <c r="BN59" s="7"/>
      <c r="BO59" s="7"/>
      <c r="BP59" s="7"/>
      <c r="BQ59" s="7"/>
      <c r="BR59" s="7" t="s">
        <v>1934</v>
      </c>
      <c r="BS59" s="7"/>
      <c r="BT59" s="7" t="s">
        <v>977</v>
      </c>
      <c r="BU59" s="7"/>
      <c r="BV59" s="7" t="s">
        <v>972</v>
      </c>
      <c r="BW59" s="7">
        <v>91</v>
      </c>
      <c r="BX59" s="7">
        <v>26</v>
      </c>
      <c r="BY59" s="7" t="s">
        <v>976</v>
      </c>
      <c r="BZ59" s="7"/>
      <c r="CA59" s="7"/>
      <c r="CB59" s="7"/>
      <c r="CC59" s="7"/>
      <c r="CD59" s="7" t="s">
        <v>1934</v>
      </c>
      <c r="CE59" s="7"/>
      <c r="CF59" s="7" t="s">
        <v>977</v>
      </c>
      <c r="CG59" s="7"/>
      <c r="CH59" s="7">
        <v>0</v>
      </c>
      <c r="CI59" s="7">
        <v>0.5</v>
      </c>
      <c r="CJ59" s="7" t="s">
        <v>1934</v>
      </c>
      <c r="CK59" s="7"/>
      <c r="CL59" s="7" t="s">
        <v>977</v>
      </c>
      <c r="CM59" s="7"/>
      <c r="CN59" s="7" t="s">
        <v>976</v>
      </c>
      <c r="CO59" s="7">
        <v>0</v>
      </c>
      <c r="CP59" s="7" t="s">
        <v>2058</v>
      </c>
      <c r="CQ59" s="7"/>
      <c r="CR59" s="7" t="s">
        <v>972</v>
      </c>
      <c r="CS59" s="7" t="s">
        <v>1955</v>
      </c>
      <c r="CT59" s="7"/>
      <c r="CU59" s="7"/>
      <c r="CV59" s="7"/>
      <c r="CW59" s="7"/>
      <c r="CX59" s="7"/>
      <c r="CY59" s="7"/>
      <c r="CZ59" s="7"/>
      <c r="DA59" s="7"/>
      <c r="DB59" s="7"/>
      <c r="DC59" s="7"/>
      <c r="DD59" s="7"/>
      <c r="DE59" s="7"/>
      <c r="DF59" s="7"/>
      <c r="DG59" s="7"/>
      <c r="DH59" s="7"/>
      <c r="DI59" s="7"/>
      <c r="DJ59" s="7"/>
      <c r="DK59" s="7"/>
      <c r="DL59" s="7" t="s">
        <v>972</v>
      </c>
      <c r="DM59" s="7" t="s">
        <v>1963</v>
      </c>
      <c r="DN59" s="7"/>
      <c r="DO59" s="7"/>
      <c r="DP59" s="7"/>
      <c r="DQ59" s="7"/>
      <c r="DR59" s="7"/>
      <c r="DS59" s="7"/>
      <c r="DT59" s="7" t="s">
        <v>1939</v>
      </c>
      <c r="DU59" s="7"/>
      <c r="DV59" s="7" t="s">
        <v>977</v>
      </c>
      <c r="DW59" s="7"/>
      <c r="DX59" s="7">
        <v>0</v>
      </c>
      <c r="DY59" s="7">
        <v>2</v>
      </c>
      <c r="DZ59" s="7" t="s">
        <v>1934</v>
      </c>
      <c r="EA59" s="7"/>
      <c r="EB59" s="7" t="s">
        <v>977</v>
      </c>
      <c r="EC59" s="7"/>
      <c r="ED59" s="7" t="s">
        <v>972</v>
      </c>
      <c r="EE59" s="7">
        <v>0</v>
      </c>
      <c r="EF59" s="7"/>
      <c r="EG59" s="7" t="s">
        <v>1934</v>
      </c>
      <c r="EH59" s="7"/>
      <c r="EI59" s="7" t="s">
        <v>977</v>
      </c>
      <c r="EJ59" s="7"/>
      <c r="EK59" s="7">
        <v>365</v>
      </c>
      <c r="EL59" s="7" t="s">
        <v>1964</v>
      </c>
      <c r="EM59" s="7"/>
      <c r="EN59" s="7">
        <v>1</v>
      </c>
      <c r="EO59" s="7"/>
      <c r="EP59" s="7"/>
      <c r="EQ59" s="7"/>
      <c r="ER59" s="7"/>
      <c r="ES59" s="7"/>
      <c r="ET59" s="7"/>
      <c r="EU59" s="7"/>
      <c r="EV59" s="7"/>
      <c r="EW59" s="7"/>
      <c r="EX59" s="7"/>
      <c r="EY59" s="7"/>
      <c r="EZ59" s="7"/>
      <c r="FA59" s="7"/>
      <c r="FB59" s="7"/>
      <c r="FC59" s="7" t="s">
        <v>977</v>
      </c>
      <c r="FD59" s="7"/>
      <c r="FE59" s="7">
        <v>0</v>
      </c>
      <c r="FF59" s="7">
        <v>1</v>
      </c>
      <c r="FG59" s="7"/>
      <c r="FH59" s="7"/>
      <c r="FI59" s="7"/>
      <c r="FJ59" s="7"/>
      <c r="FK59" s="7"/>
      <c r="FL59" s="7"/>
      <c r="FM59" s="7"/>
      <c r="FN59" s="7"/>
      <c r="FO59" s="7" t="s">
        <v>976</v>
      </c>
      <c r="FP59" s="7"/>
    </row>
    <row r="60" spans="1:172" s="37" customFormat="1" ht="38.25" x14ac:dyDescent="0.2">
      <c r="A60" s="34" t="s">
        <v>953</v>
      </c>
      <c r="B60" s="7" t="s">
        <v>3878</v>
      </c>
      <c r="C60" s="7" t="s">
        <v>1934</v>
      </c>
      <c r="D60" s="7"/>
      <c r="E60" s="7" t="s">
        <v>977</v>
      </c>
      <c r="F60" s="7"/>
      <c r="G60" s="7">
        <v>1</v>
      </c>
      <c r="H60" s="7" t="s">
        <v>972</v>
      </c>
      <c r="I60" s="7">
        <v>5</v>
      </c>
      <c r="J60" s="7" t="s">
        <v>972</v>
      </c>
      <c r="K60" s="7" t="s">
        <v>972</v>
      </c>
      <c r="L60" s="7">
        <v>5</v>
      </c>
      <c r="M60" s="7" t="s">
        <v>1935</v>
      </c>
      <c r="N60" s="7"/>
      <c r="O60" s="7" t="s">
        <v>972</v>
      </c>
      <c r="P60" s="7" t="s">
        <v>2100</v>
      </c>
      <c r="Q60" s="7" t="s">
        <v>1935</v>
      </c>
      <c r="R60" s="7"/>
      <c r="S60" s="7" t="s">
        <v>976</v>
      </c>
      <c r="T60" s="7"/>
      <c r="U60" s="7" t="s">
        <v>976</v>
      </c>
      <c r="V60" s="7"/>
      <c r="W60" s="7" t="s">
        <v>1937</v>
      </c>
      <c r="X60" s="7"/>
      <c r="Y60" s="7" t="s">
        <v>977</v>
      </c>
      <c r="Z60" s="7"/>
      <c r="AA60" s="7">
        <v>182</v>
      </c>
      <c r="AB60" s="7">
        <v>26</v>
      </c>
      <c r="AC60" s="7" t="s">
        <v>1942</v>
      </c>
      <c r="AD60" s="7" t="s">
        <v>2101</v>
      </c>
      <c r="AE60" s="7" t="s">
        <v>977</v>
      </c>
      <c r="AF60" s="7"/>
      <c r="AG60" s="7">
        <v>182</v>
      </c>
      <c r="AH60" s="7">
        <v>26</v>
      </c>
      <c r="AI60" s="7" t="s">
        <v>1934</v>
      </c>
      <c r="AJ60" s="7"/>
      <c r="AK60" s="7" t="s">
        <v>977</v>
      </c>
      <c r="AL60" s="7"/>
      <c r="AM60" s="7">
        <v>182</v>
      </c>
      <c r="AN60" s="7">
        <v>18</v>
      </c>
      <c r="AO60" s="7" t="s">
        <v>1942</v>
      </c>
      <c r="AP60" s="7" t="s">
        <v>2102</v>
      </c>
      <c r="AQ60" s="7" t="s">
        <v>977</v>
      </c>
      <c r="AR60" s="7"/>
      <c r="AS60" s="7">
        <v>26</v>
      </c>
      <c r="AT60" s="7">
        <v>50</v>
      </c>
      <c r="AU60" s="7" t="s">
        <v>1938</v>
      </c>
      <c r="AV60" s="7"/>
      <c r="AW60" s="7" t="s">
        <v>977</v>
      </c>
      <c r="AX60" s="7"/>
      <c r="AY60" s="7">
        <v>365</v>
      </c>
      <c r="AZ60" s="7">
        <v>18</v>
      </c>
      <c r="BA60" s="7" t="s">
        <v>1934</v>
      </c>
      <c r="BB60" s="7"/>
      <c r="BC60" s="7" t="s">
        <v>977</v>
      </c>
      <c r="BD60" s="7"/>
      <c r="BE60" s="7">
        <v>182</v>
      </c>
      <c r="BF60" s="7">
        <v>52</v>
      </c>
      <c r="BG60" s="7"/>
      <c r="BH60" s="7"/>
      <c r="BI60" s="7"/>
      <c r="BJ60" s="7"/>
      <c r="BK60" s="7"/>
      <c r="BL60" s="7"/>
      <c r="BM60" s="7"/>
      <c r="BN60" s="7"/>
      <c r="BO60" s="7"/>
      <c r="BP60" s="7"/>
      <c r="BQ60" s="7"/>
      <c r="BR60" s="7" t="s">
        <v>994</v>
      </c>
      <c r="BS60" s="7" t="s">
        <v>2103</v>
      </c>
      <c r="BT60" s="7" t="s">
        <v>977</v>
      </c>
      <c r="BU60" s="7"/>
      <c r="BV60" s="7"/>
      <c r="BW60" s="7">
        <v>0</v>
      </c>
      <c r="BX60" s="7"/>
      <c r="BY60" s="7"/>
      <c r="BZ60" s="7"/>
      <c r="CA60" s="7"/>
      <c r="CB60" s="7"/>
      <c r="CC60" s="7"/>
      <c r="CD60" s="7"/>
      <c r="CE60" s="7"/>
      <c r="CF60" s="7"/>
      <c r="CG60" s="7"/>
      <c r="CH60" s="7"/>
      <c r="CI60" s="7"/>
      <c r="CJ60" s="7" t="s">
        <v>994</v>
      </c>
      <c r="CK60" s="7" t="s">
        <v>2104</v>
      </c>
      <c r="CL60" s="7" t="s">
        <v>977</v>
      </c>
      <c r="CM60" s="7"/>
      <c r="CN60" s="7" t="s">
        <v>976</v>
      </c>
      <c r="CO60" s="7">
        <v>0</v>
      </c>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t="s">
        <v>1934</v>
      </c>
      <c r="EP60" s="7"/>
      <c r="EQ60" s="7" t="s">
        <v>977</v>
      </c>
      <c r="ER60" s="7"/>
      <c r="ES60" s="7">
        <v>0</v>
      </c>
      <c r="ET60" s="7">
        <v>2</v>
      </c>
      <c r="EU60" s="7"/>
      <c r="EV60" s="7"/>
      <c r="EW60" s="7"/>
      <c r="EX60" s="7"/>
      <c r="EY60" s="7"/>
      <c r="EZ60" s="7"/>
      <c r="FA60" s="7"/>
      <c r="FB60" s="7"/>
      <c r="FC60" s="7"/>
      <c r="FD60" s="7"/>
      <c r="FE60" s="7"/>
      <c r="FF60" s="7"/>
      <c r="FG60" s="7"/>
      <c r="FH60" s="7"/>
      <c r="FI60" s="7"/>
      <c r="FJ60" s="7"/>
      <c r="FK60" s="7"/>
      <c r="FL60" s="7"/>
      <c r="FM60" s="7"/>
      <c r="FN60" s="7" t="s">
        <v>2105</v>
      </c>
      <c r="FO60" s="7"/>
      <c r="FP60" s="7"/>
    </row>
    <row r="61" spans="1:172" s="37" customFormat="1" x14ac:dyDescent="0.2">
      <c r="A61" s="20" t="s">
        <v>3541</v>
      </c>
      <c r="B61" s="21">
        <f>COUNTA(B3:B60)</f>
        <v>57</v>
      </c>
      <c r="C61" s="21">
        <f t="shared" ref="C61:BN61" si="0">COUNTA(C3:C60)</f>
        <v>42</v>
      </c>
      <c r="D61" s="21">
        <f t="shared" si="0"/>
        <v>0</v>
      </c>
      <c r="E61" s="21">
        <f t="shared" si="0"/>
        <v>42</v>
      </c>
      <c r="F61" s="21">
        <f t="shared" si="0"/>
        <v>0</v>
      </c>
      <c r="G61" s="21">
        <f t="shared" si="0"/>
        <v>40</v>
      </c>
      <c r="H61" s="21">
        <f t="shared" si="0"/>
        <v>42</v>
      </c>
      <c r="I61" s="21">
        <f t="shared" si="0"/>
        <v>41</v>
      </c>
      <c r="J61" s="21">
        <f t="shared" si="0"/>
        <v>42</v>
      </c>
      <c r="K61" s="21">
        <f t="shared" si="0"/>
        <v>36</v>
      </c>
      <c r="L61" s="21">
        <f t="shared" si="0"/>
        <v>34</v>
      </c>
      <c r="M61" s="21">
        <f t="shared" si="0"/>
        <v>33</v>
      </c>
      <c r="N61" s="21">
        <f t="shared" si="0"/>
        <v>1</v>
      </c>
      <c r="O61" s="21">
        <f t="shared" si="0"/>
        <v>35</v>
      </c>
      <c r="P61" s="21">
        <f t="shared" si="0"/>
        <v>33</v>
      </c>
      <c r="Q61" s="21">
        <f t="shared" si="0"/>
        <v>33</v>
      </c>
      <c r="R61" s="21">
        <f t="shared" si="0"/>
        <v>0</v>
      </c>
      <c r="S61" s="21">
        <f t="shared" si="0"/>
        <v>42</v>
      </c>
      <c r="T61" s="21">
        <f t="shared" si="0"/>
        <v>12</v>
      </c>
      <c r="U61" s="21">
        <f t="shared" si="0"/>
        <v>42</v>
      </c>
      <c r="V61" s="21">
        <f t="shared" si="0"/>
        <v>9</v>
      </c>
      <c r="W61" s="21">
        <f t="shared" si="0"/>
        <v>55</v>
      </c>
      <c r="X61" s="21">
        <f t="shared" si="0"/>
        <v>18</v>
      </c>
      <c r="Y61" s="21">
        <f t="shared" si="0"/>
        <v>55</v>
      </c>
      <c r="Z61" s="21">
        <f t="shared" si="0"/>
        <v>0</v>
      </c>
      <c r="AA61" s="21">
        <f t="shared" si="0"/>
        <v>52</v>
      </c>
      <c r="AB61" s="21">
        <f t="shared" si="0"/>
        <v>54</v>
      </c>
      <c r="AC61" s="21">
        <f t="shared" si="0"/>
        <v>45</v>
      </c>
      <c r="AD61" s="21">
        <f t="shared" si="0"/>
        <v>21</v>
      </c>
      <c r="AE61" s="21">
        <f t="shared" si="0"/>
        <v>45</v>
      </c>
      <c r="AF61" s="21">
        <f t="shared" si="0"/>
        <v>1</v>
      </c>
      <c r="AG61" s="21">
        <f t="shared" si="0"/>
        <v>43</v>
      </c>
      <c r="AH61" s="21">
        <f t="shared" si="0"/>
        <v>41</v>
      </c>
      <c r="AI61" s="21">
        <f t="shared" si="0"/>
        <v>41</v>
      </c>
      <c r="AJ61" s="21">
        <f t="shared" si="0"/>
        <v>1</v>
      </c>
      <c r="AK61" s="21">
        <f t="shared" si="0"/>
        <v>41</v>
      </c>
      <c r="AL61" s="21">
        <f t="shared" si="0"/>
        <v>1</v>
      </c>
      <c r="AM61" s="21">
        <f t="shared" si="0"/>
        <v>40</v>
      </c>
      <c r="AN61" s="21">
        <f t="shared" si="0"/>
        <v>41</v>
      </c>
      <c r="AO61" s="21">
        <f t="shared" si="0"/>
        <v>39</v>
      </c>
      <c r="AP61" s="21">
        <f t="shared" si="0"/>
        <v>16</v>
      </c>
      <c r="AQ61" s="21">
        <f t="shared" si="0"/>
        <v>39</v>
      </c>
      <c r="AR61" s="21">
        <f t="shared" si="0"/>
        <v>1</v>
      </c>
      <c r="AS61" s="21">
        <f t="shared" si="0"/>
        <v>38</v>
      </c>
      <c r="AT61" s="21">
        <f t="shared" si="0"/>
        <v>34</v>
      </c>
      <c r="AU61" s="21">
        <f t="shared" si="0"/>
        <v>42</v>
      </c>
      <c r="AV61" s="21">
        <f t="shared" si="0"/>
        <v>1</v>
      </c>
      <c r="AW61" s="21">
        <f t="shared" si="0"/>
        <v>42</v>
      </c>
      <c r="AX61" s="21">
        <f t="shared" si="0"/>
        <v>1</v>
      </c>
      <c r="AY61" s="21">
        <f t="shared" si="0"/>
        <v>40</v>
      </c>
      <c r="AZ61" s="21">
        <f t="shared" si="0"/>
        <v>37</v>
      </c>
      <c r="BA61" s="21">
        <f t="shared" si="0"/>
        <v>50</v>
      </c>
      <c r="BB61" s="21">
        <f t="shared" si="0"/>
        <v>8</v>
      </c>
      <c r="BC61" s="21">
        <f t="shared" si="0"/>
        <v>50</v>
      </c>
      <c r="BD61" s="21">
        <f t="shared" si="0"/>
        <v>1</v>
      </c>
      <c r="BE61" s="21">
        <f t="shared" si="0"/>
        <v>49</v>
      </c>
      <c r="BF61" s="21">
        <f t="shared" si="0"/>
        <v>48</v>
      </c>
      <c r="BG61" s="21">
        <f t="shared" si="0"/>
        <v>23</v>
      </c>
      <c r="BH61" s="21">
        <f t="shared" si="0"/>
        <v>1</v>
      </c>
      <c r="BI61" s="21">
        <f t="shared" si="0"/>
        <v>23</v>
      </c>
      <c r="BJ61" s="21">
        <f t="shared" si="0"/>
        <v>0</v>
      </c>
      <c r="BK61" s="21">
        <f t="shared" si="0"/>
        <v>23</v>
      </c>
      <c r="BL61" s="21">
        <f t="shared" si="0"/>
        <v>1</v>
      </c>
      <c r="BM61" s="21">
        <f t="shared" si="0"/>
        <v>22</v>
      </c>
      <c r="BN61" s="21">
        <f t="shared" si="0"/>
        <v>19</v>
      </c>
      <c r="BO61" s="21">
        <f t="shared" ref="BO61:DZ61" si="1">COUNTA(BO3:BO60)</f>
        <v>23</v>
      </c>
      <c r="BP61" s="21">
        <f t="shared" si="1"/>
        <v>23</v>
      </c>
      <c r="BQ61" s="21">
        <f t="shared" si="1"/>
        <v>9</v>
      </c>
      <c r="BR61" s="21">
        <f t="shared" si="1"/>
        <v>52</v>
      </c>
      <c r="BS61" s="21">
        <f t="shared" si="1"/>
        <v>8</v>
      </c>
      <c r="BT61" s="21">
        <f t="shared" si="1"/>
        <v>52</v>
      </c>
      <c r="BU61" s="21">
        <f t="shared" si="1"/>
        <v>1</v>
      </c>
      <c r="BV61" s="21">
        <f t="shared" si="1"/>
        <v>50</v>
      </c>
      <c r="BW61" s="21">
        <f t="shared" si="1"/>
        <v>50</v>
      </c>
      <c r="BX61" s="21">
        <f t="shared" si="1"/>
        <v>50</v>
      </c>
      <c r="BY61" s="21">
        <f t="shared" si="1"/>
        <v>50</v>
      </c>
      <c r="BZ61" s="21">
        <f t="shared" si="1"/>
        <v>3</v>
      </c>
      <c r="CA61" s="21">
        <f t="shared" si="1"/>
        <v>0</v>
      </c>
      <c r="CB61" s="21">
        <f t="shared" si="1"/>
        <v>0</v>
      </c>
      <c r="CC61" s="21">
        <f t="shared" si="1"/>
        <v>0</v>
      </c>
      <c r="CD61" s="21">
        <f t="shared" si="1"/>
        <v>14</v>
      </c>
      <c r="CE61" s="21">
        <f t="shared" si="1"/>
        <v>1</v>
      </c>
      <c r="CF61" s="21">
        <f t="shared" si="1"/>
        <v>14</v>
      </c>
      <c r="CG61" s="21">
        <f t="shared" si="1"/>
        <v>1</v>
      </c>
      <c r="CH61" s="21">
        <f t="shared" si="1"/>
        <v>14</v>
      </c>
      <c r="CI61" s="21">
        <f t="shared" si="1"/>
        <v>12</v>
      </c>
      <c r="CJ61" s="21">
        <f t="shared" si="1"/>
        <v>53</v>
      </c>
      <c r="CK61" s="21">
        <f t="shared" si="1"/>
        <v>1</v>
      </c>
      <c r="CL61" s="21">
        <f t="shared" si="1"/>
        <v>53</v>
      </c>
      <c r="CM61" s="21">
        <f t="shared" si="1"/>
        <v>1</v>
      </c>
      <c r="CN61" s="21">
        <f t="shared" si="1"/>
        <v>53</v>
      </c>
      <c r="CO61" s="21">
        <f t="shared" si="1"/>
        <v>49</v>
      </c>
      <c r="CP61" s="21">
        <f t="shared" si="1"/>
        <v>52</v>
      </c>
      <c r="CQ61" s="21">
        <f t="shared" si="1"/>
        <v>8</v>
      </c>
      <c r="CR61" s="21">
        <f t="shared" si="1"/>
        <v>51</v>
      </c>
      <c r="CS61" s="21">
        <f t="shared" si="1"/>
        <v>27</v>
      </c>
      <c r="CT61" s="21">
        <f t="shared" si="1"/>
        <v>18</v>
      </c>
      <c r="CU61" s="21">
        <f t="shared" si="1"/>
        <v>18</v>
      </c>
      <c r="CV61" s="21">
        <f t="shared" si="1"/>
        <v>18</v>
      </c>
      <c r="CW61" s="21">
        <f t="shared" si="1"/>
        <v>16</v>
      </c>
      <c r="CX61" s="21">
        <f t="shared" si="1"/>
        <v>15</v>
      </c>
      <c r="CY61" s="21">
        <f t="shared" si="1"/>
        <v>15</v>
      </c>
      <c r="CZ61" s="21">
        <f t="shared" si="1"/>
        <v>18</v>
      </c>
      <c r="DA61" s="21">
        <f t="shared" si="1"/>
        <v>16</v>
      </c>
      <c r="DB61" s="21">
        <f t="shared" si="1"/>
        <v>16</v>
      </c>
      <c r="DC61" s="21">
        <f t="shared" si="1"/>
        <v>13</v>
      </c>
      <c r="DD61" s="21">
        <f t="shared" si="1"/>
        <v>18</v>
      </c>
      <c r="DE61" s="21">
        <f t="shared" si="1"/>
        <v>15</v>
      </c>
      <c r="DF61" s="21">
        <f t="shared" si="1"/>
        <v>10</v>
      </c>
      <c r="DG61" s="21">
        <f t="shared" si="1"/>
        <v>10</v>
      </c>
      <c r="DH61" s="21">
        <f t="shared" si="1"/>
        <v>8</v>
      </c>
      <c r="DI61" s="21">
        <f t="shared" si="1"/>
        <v>2</v>
      </c>
      <c r="DJ61" s="21">
        <f t="shared" si="1"/>
        <v>1</v>
      </c>
      <c r="DK61" s="21">
        <f t="shared" si="1"/>
        <v>2</v>
      </c>
      <c r="DL61" s="21">
        <f t="shared" si="1"/>
        <v>51</v>
      </c>
      <c r="DM61" s="21">
        <f t="shared" si="1"/>
        <v>7</v>
      </c>
      <c r="DN61" s="21">
        <f t="shared" si="1"/>
        <v>0</v>
      </c>
      <c r="DO61" s="21">
        <f t="shared" si="1"/>
        <v>0</v>
      </c>
      <c r="DP61" s="21">
        <f t="shared" si="1"/>
        <v>0</v>
      </c>
      <c r="DQ61" s="21">
        <f t="shared" si="1"/>
        <v>0</v>
      </c>
      <c r="DR61" s="21">
        <f t="shared" si="1"/>
        <v>0</v>
      </c>
      <c r="DS61" s="21">
        <f t="shared" si="1"/>
        <v>0</v>
      </c>
      <c r="DT61" s="21">
        <f t="shared" si="1"/>
        <v>21</v>
      </c>
      <c r="DU61" s="21">
        <f t="shared" si="1"/>
        <v>2</v>
      </c>
      <c r="DV61" s="21">
        <f t="shared" si="1"/>
        <v>21</v>
      </c>
      <c r="DW61" s="21">
        <f t="shared" si="1"/>
        <v>0</v>
      </c>
      <c r="DX61" s="21">
        <f t="shared" si="1"/>
        <v>19</v>
      </c>
      <c r="DY61" s="21">
        <f t="shared" si="1"/>
        <v>13</v>
      </c>
      <c r="DZ61" s="21">
        <f t="shared" si="1"/>
        <v>41</v>
      </c>
      <c r="EA61" s="21">
        <f t="shared" ref="EA61:FP61" si="2">COUNTA(EA3:EA60)</f>
        <v>0</v>
      </c>
      <c r="EB61" s="21">
        <f t="shared" si="2"/>
        <v>41</v>
      </c>
      <c r="EC61" s="21">
        <f t="shared" si="2"/>
        <v>1</v>
      </c>
      <c r="ED61" s="21">
        <f t="shared" si="2"/>
        <v>40</v>
      </c>
      <c r="EE61" s="21">
        <f t="shared" si="2"/>
        <v>38</v>
      </c>
      <c r="EF61" s="21">
        <f t="shared" si="2"/>
        <v>16</v>
      </c>
      <c r="EG61" s="21">
        <f t="shared" si="2"/>
        <v>15</v>
      </c>
      <c r="EH61" s="21">
        <f t="shared" si="2"/>
        <v>3</v>
      </c>
      <c r="EI61" s="21">
        <f t="shared" si="2"/>
        <v>15</v>
      </c>
      <c r="EJ61" s="21">
        <f t="shared" si="2"/>
        <v>1</v>
      </c>
      <c r="EK61" s="21">
        <f t="shared" si="2"/>
        <v>14</v>
      </c>
      <c r="EL61" s="21">
        <f t="shared" si="2"/>
        <v>15</v>
      </c>
      <c r="EM61" s="21">
        <f t="shared" si="2"/>
        <v>1</v>
      </c>
      <c r="EN61" s="21">
        <f t="shared" si="2"/>
        <v>11</v>
      </c>
      <c r="EO61" s="21">
        <f t="shared" si="2"/>
        <v>19</v>
      </c>
      <c r="EP61" s="21">
        <f t="shared" si="2"/>
        <v>0</v>
      </c>
      <c r="EQ61" s="21">
        <f t="shared" si="2"/>
        <v>19</v>
      </c>
      <c r="ER61" s="21">
        <f t="shared" si="2"/>
        <v>1</v>
      </c>
      <c r="ES61" s="21">
        <f t="shared" si="2"/>
        <v>18</v>
      </c>
      <c r="ET61" s="21">
        <f t="shared" si="2"/>
        <v>18</v>
      </c>
      <c r="EU61" s="21">
        <f t="shared" si="2"/>
        <v>10</v>
      </c>
      <c r="EV61" s="21">
        <f t="shared" si="2"/>
        <v>0</v>
      </c>
      <c r="EW61" s="21">
        <f t="shared" si="2"/>
        <v>10</v>
      </c>
      <c r="EX61" s="21">
        <f t="shared" si="2"/>
        <v>0</v>
      </c>
      <c r="EY61" s="21">
        <f t="shared" si="2"/>
        <v>9</v>
      </c>
      <c r="EZ61" s="21">
        <f t="shared" si="2"/>
        <v>9</v>
      </c>
      <c r="FA61" s="21">
        <f t="shared" si="2"/>
        <v>10</v>
      </c>
      <c r="FB61" s="21">
        <f t="shared" si="2"/>
        <v>2</v>
      </c>
      <c r="FC61" s="21">
        <f t="shared" si="2"/>
        <v>34</v>
      </c>
      <c r="FD61" s="21">
        <f t="shared" si="2"/>
        <v>1</v>
      </c>
      <c r="FE61" s="21">
        <f t="shared" si="2"/>
        <v>32</v>
      </c>
      <c r="FF61" s="21">
        <f t="shared" si="2"/>
        <v>19</v>
      </c>
      <c r="FG61" s="21">
        <f t="shared" si="2"/>
        <v>6</v>
      </c>
      <c r="FH61" s="21">
        <f t="shared" si="2"/>
        <v>6</v>
      </c>
      <c r="FI61" s="21">
        <f t="shared" si="2"/>
        <v>1</v>
      </c>
      <c r="FJ61" s="21">
        <f t="shared" si="2"/>
        <v>6</v>
      </c>
      <c r="FK61" s="21">
        <f t="shared" si="2"/>
        <v>1</v>
      </c>
      <c r="FL61" s="21">
        <f t="shared" si="2"/>
        <v>5</v>
      </c>
      <c r="FM61" s="21">
        <f t="shared" si="2"/>
        <v>4</v>
      </c>
      <c r="FN61" s="21">
        <f t="shared" si="2"/>
        <v>17</v>
      </c>
      <c r="FO61" s="21">
        <f t="shared" si="2"/>
        <v>54</v>
      </c>
      <c r="FP61" s="21">
        <f t="shared" si="2"/>
        <v>0</v>
      </c>
    </row>
    <row r="62" spans="1:172" s="37" customFormat="1" x14ac:dyDescent="0.2">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row>
    <row r="63" spans="1:172" s="37" customFormat="1" x14ac:dyDescent="0.2">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row>
    <row r="64" spans="1:172" s="37" customFormat="1" x14ac:dyDescent="0.2">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row>
    <row r="65" spans="2:172" s="37" customFormat="1" x14ac:dyDescent="0.2">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row>
    <row r="66" spans="2:172" s="37" customFormat="1" x14ac:dyDescent="0.2">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row>
  </sheetData>
  <autoFilter ref="A2:FP61" xr:uid="{00000000-0009-0000-0000-000009000000}"/>
  <sortState xmlns:xlrd2="http://schemas.microsoft.com/office/spreadsheetml/2017/richdata2" ref="A3:FP60">
    <sortCondition ref="A3:A60"/>
  </sortState>
  <conditionalFormatting sqref="A3:A59">
    <cfRule type="duplicateValues" dxfId="11" priority="2"/>
    <cfRule type="duplicateValues" dxfId="10" priority="3"/>
  </conditionalFormatting>
  <conditionalFormatting sqref="A60">
    <cfRule type="duplicateValues" dxfId="9" priority="1"/>
  </conditionalFormatting>
  <hyperlinks>
    <hyperlink ref="A1" location="Index!A1" display="Back to Index"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1"/>
  <sheetViews>
    <sheetView zoomScaleNormal="100" workbookViewId="0">
      <pane xSplit="1" ySplit="2" topLeftCell="B3" activePane="bottomRight" state="frozen"/>
      <selection sqref="A1:B1"/>
      <selection pane="topRight" sqref="A1:B1"/>
      <selection pane="bottomLeft" sqref="A1:B1"/>
      <selection pane="bottomRight" activeCell="B3" sqref="B3"/>
    </sheetView>
  </sheetViews>
  <sheetFormatPr defaultRowHeight="12.75" x14ac:dyDescent="0.2"/>
  <cols>
    <col min="1" max="1" width="13.5703125" style="34" bestFit="1" customWidth="1"/>
    <col min="2" max="2" width="30.7109375" style="35" customWidth="1"/>
    <col min="3" max="3" width="50.7109375" style="35" customWidth="1"/>
    <col min="4" max="6" width="30.7109375" style="35" customWidth="1"/>
    <col min="7" max="16384" width="9.140625" style="34"/>
  </cols>
  <sheetData>
    <row r="1" spans="1:6" s="33" customFormat="1" x14ac:dyDescent="0.2">
      <c r="A1" s="31" t="s">
        <v>969</v>
      </c>
      <c r="B1" s="32" t="s">
        <v>663</v>
      </c>
      <c r="C1" s="32" t="s">
        <v>664</v>
      </c>
      <c r="D1" s="32" t="s">
        <v>665</v>
      </c>
      <c r="E1" s="32" t="s">
        <v>666</v>
      </c>
      <c r="F1" s="32" t="s">
        <v>667</v>
      </c>
    </row>
    <row r="2" spans="1:6" s="33" customFormat="1" ht="51" x14ac:dyDescent="0.2">
      <c r="A2" s="33" t="s">
        <v>968</v>
      </c>
      <c r="B2" s="4" t="s">
        <v>3192</v>
      </c>
      <c r="C2" s="32" t="s">
        <v>3193</v>
      </c>
      <c r="D2" s="32" t="s">
        <v>3194</v>
      </c>
      <c r="E2" s="4" t="s">
        <v>3195</v>
      </c>
      <c r="F2" s="4" t="s">
        <v>3457</v>
      </c>
    </row>
    <row r="3" spans="1:6" x14ac:dyDescent="0.2">
      <c r="A3" s="34" t="s">
        <v>922</v>
      </c>
      <c r="B3" s="35" t="s">
        <v>972</v>
      </c>
      <c r="C3" s="35" t="s">
        <v>2156</v>
      </c>
      <c r="E3" s="35" t="s">
        <v>976</v>
      </c>
    </row>
    <row r="4" spans="1:6" x14ac:dyDescent="0.2">
      <c r="A4" s="34" t="s">
        <v>930</v>
      </c>
      <c r="B4" s="35" t="s">
        <v>1023</v>
      </c>
    </row>
    <row r="5" spans="1:6" x14ac:dyDescent="0.2">
      <c r="A5" s="34" t="s">
        <v>927</v>
      </c>
      <c r="B5" s="35" t="s">
        <v>972</v>
      </c>
      <c r="C5" s="35" t="s">
        <v>2160</v>
      </c>
      <c r="E5" s="35" t="s">
        <v>976</v>
      </c>
    </row>
    <row r="6" spans="1:6" x14ac:dyDescent="0.2">
      <c r="A6" s="34" t="s">
        <v>914</v>
      </c>
      <c r="B6" s="35" t="s">
        <v>976</v>
      </c>
    </row>
    <row r="7" spans="1:6" x14ac:dyDescent="0.2">
      <c r="A7" s="34" t="s">
        <v>920</v>
      </c>
      <c r="B7" s="35" t="s">
        <v>972</v>
      </c>
      <c r="C7" s="35" t="s">
        <v>2156</v>
      </c>
      <c r="E7" s="35" t="s">
        <v>976</v>
      </c>
    </row>
    <row r="8" spans="1:6" x14ac:dyDescent="0.2">
      <c r="A8" s="34" t="s">
        <v>959</v>
      </c>
      <c r="B8" s="35" t="s">
        <v>976</v>
      </c>
    </row>
    <row r="9" spans="1:6" x14ac:dyDescent="0.2">
      <c r="A9" s="34" t="s">
        <v>933</v>
      </c>
      <c r="B9" s="35" t="s">
        <v>972</v>
      </c>
      <c r="C9" s="35" t="s">
        <v>994</v>
      </c>
      <c r="D9" s="35" t="s">
        <v>2163</v>
      </c>
      <c r="E9" s="35" t="s">
        <v>976</v>
      </c>
    </row>
    <row r="10" spans="1:6" ht="51" x14ac:dyDescent="0.2">
      <c r="A10" s="34" t="s">
        <v>912</v>
      </c>
      <c r="B10" s="35" t="s">
        <v>972</v>
      </c>
      <c r="C10" s="35" t="s">
        <v>3801</v>
      </c>
      <c r="E10" s="35" t="s">
        <v>976</v>
      </c>
    </row>
    <row r="11" spans="1:6" ht="38.25" x14ac:dyDescent="0.2">
      <c r="A11" s="34" t="s">
        <v>936</v>
      </c>
      <c r="B11" s="35" t="s">
        <v>972</v>
      </c>
      <c r="C11" s="35" t="s">
        <v>2166</v>
      </c>
      <c r="E11" s="35" t="s">
        <v>976</v>
      </c>
    </row>
    <row r="12" spans="1:6" ht="25.5" x14ac:dyDescent="0.2">
      <c r="A12" s="34" t="s">
        <v>911</v>
      </c>
      <c r="B12" s="35" t="s">
        <v>972</v>
      </c>
      <c r="C12" s="35" t="s">
        <v>3802</v>
      </c>
      <c r="E12" s="35" t="s">
        <v>972</v>
      </c>
      <c r="F12" s="35" t="s">
        <v>2151</v>
      </c>
    </row>
    <row r="13" spans="1:6" x14ac:dyDescent="0.2">
      <c r="A13" s="34" t="s">
        <v>928</v>
      </c>
      <c r="B13" s="35" t="s">
        <v>976</v>
      </c>
    </row>
    <row r="14" spans="1:6" x14ac:dyDescent="0.2">
      <c r="A14" s="34" t="s">
        <v>926</v>
      </c>
      <c r="B14" s="35" t="s">
        <v>976</v>
      </c>
    </row>
    <row r="15" spans="1:6" x14ac:dyDescent="0.2">
      <c r="A15" s="34" t="s">
        <v>948</v>
      </c>
      <c r="B15" s="35" t="s">
        <v>976</v>
      </c>
    </row>
    <row r="16" spans="1:6" x14ac:dyDescent="0.2">
      <c r="A16" s="34" t="s">
        <v>932</v>
      </c>
      <c r="B16" s="35" t="s">
        <v>972</v>
      </c>
      <c r="C16" s="35" t="s">
        <v>2162</v>
      </c>
      <c r="E16" s="35" t="s">
        <v>976</v>
      </c>
    </row>
    <row r="17" spans="1:5" ht="25.5" x14ac:dyDescent="0.2">
      <c r="A17" s="34" t="s">
        <v>941</v>
      </c>
      <c r="B17" s="35" t="s">
        <v>972</v>
      </c>
      <c r="C17" s="35" t="s">
        <v>2168</v>
      </c>
      <c r="E17" s="35" t="s">
        <v>976</v>
      </c>
    </row>
    <row r="18" spans="1:5" x14ac:dyDescent="0.2">
      <c r="A18" s="34" t="s">
        <v>956</v>
      </c>
      <c r="B18" s="35" t="s">
        <v>976</v>
      </c>
    </row>
    <row r="19" spans="1:5" x14ac:dyDescent="0.2">
      <c r="A19" s="34" t="s">
        <v>934</v>
      </c>
      <c r="B19" s="35" t="s">
        <v>972</v>
      </c>
      <c r="C19" s="35" t="s">
        <v>2160</v>
      </c>
      <c r="E19" s="35" t="s">
        <v>976</v>
      </c>
    </row>
    <row r="20" spans="1:5" x14ac:dyDescent="0.2">
      <c r="A20" s="34" t="s">
        <v>961</v>
      </c>
      <c r="B20" s="35" t="s">
        <v>976</v>
      </c>
    </row>
    <row r="21" spans="1:5" x14ac:dyDescent="0.2">
      <c r="A21" s="34" t="s">
        <v>939</v>
      </c>
      <c r="B21" s="35" t="s">
        <v>972</v>
      </c>
      <c r="C21" s="35" t="s">
        <v>2167</v>
      </c>
      <c r="E21" s="35" t="s">
        <v>976</v>
      </c>
    </row>
    <row r="22" spans="1:5" x14ac:dyDescent="0.2">
      <c r="A22" s="34" t="s">
        <v>938</v>
      </c>
      <c r="B22" s="35" t="s">
        <v>1023</v>
      </c>
    </row>
    <row r="23" spans="1:5" x14ac:dyDescent="0.2">
      <c r="A23" s="34" t="s">
        <v>947</v>
      </c>
      <c r="B23" s="35" t="s">
        <v>972</v>
      </c>
      <c r="C23" s="35" t="s">
        <v>2156</v>
      </c>
      <c r="E23" s="35" t="s">
        <v>976</v>
      </c>
    </row>
    <row r="24" spans="1:5" ht="51" x14ac:dyDescent="0.2">
      <c r="A24" s="34" t="s">
        <v>937</v>
      </c>
      <c r="B24" s="35" t="s">
        <v>972</v>
      </c>
      <c r="C24" s="35" t="s">
        <v>3800</v>
      </c>
      <c r="E24" s="35" t="s">
        <v>976</v>
      </c>
    </row>
    <row r="25" spans="1:5" x14ac:dyDescent="0.2">
      <c r="A25" s="34" t="s">
        <v>949</v>
      </c>
      <c r="B25" s="35" t="s">
        <v>976</v>
      </c>
    </row>
    <row r="26" spans="1:5" ht="25.5" x14ac:dyDescent="0.2">
      <c r="A26" s="34" t="s">
        <v>963</v>
      </c>
      <c r="B26" s="35" t="s">
        <v>972</v>
      </c>
      <c r="C26" s="35" t="s">
        <v>2175</v>
      </c>
      <c r="D26" s="35" t="s">
        <v>2176</v>
      </c>
      <c r="E26" s="35" t="s">
        <v>976</v>
      </c>
    </row>
    <row r="27" spans="1:5" ht="25.5" x14ac:dyDescent="0.2">
      <c r="A27" s="34" t="s">
        <v>913</v>
      </c>
      <c r="B27" s="35" t="s">
        <v>972</v>
      </c>
      <c r="C27" s="35" t="s">
        <v>2152</v>
      </c>
      <c r="E27" s="35" t="s">
        <v>976</v>
      </c>
    </row>
    <row r="28" spans="1:5" ht="38.25" x14ac:dyDescent="0.2">
      <c r="A28" s="34" t="s">
        <v>931</v>
      </c>
      <c r="B28" s="35" t="s">
        <v>972</v>
      </c>
      <c r="C28" s="35" t="s">
        <v>2161</v>
      </c>
      <c r="E28" s="35" t="s">
        <v>976</v>
      </c>
    </row>
    <row r="29" spans="1:5" x14ac:dyDescent="0.2">
      <c r="A29" s="34" t="s">
        <v>966</v>
      </c>
      <c r="B29" s="35" t="s">
        <v>976</v>
      </c>
    </row>
    <row r="30" spans="1:5" ht="25.5" x14ac:dyDescent="0.2">
      <c r="A30" s="34" t="s">
        <v>917</v>
      </c>
      <c r="B30" s="35" t="s">
        <v>972</v>
      </c>
      <c r="C30" s="35" t="s">
        <v>2152</v>
      </c>
      <c r="E30" s="35" t="s">
        <v>976</v>
      </c>
    </row>
    <row r="31" spans="1:5" x14ac:dyDescent="0.2">
      <c r="A31" s="34" t="s">
        <v>923</v>
      </c>
      <c r="B31" s="35" t="s">
        <v>972</v>
      </c>
      <c r="C31" s="35" t="s">
        <v>2157</v>
      </c>
      <c r="D31" s="35" t="s">
        <v>2159</v>
      </c>
      <c r="E31" s="35" t="s">
        <v>976</v>
      </c>
    </row>
    <row r="32" spans="1:5" ht="25.5" x14ac:dyDescent="0.2">
      <c r="A32" s="34" t="s">
        <v>935</v>
      </c>
      <c r="B32" s="35" t="s">
        <v>972</v>
      </c>
      <c r="C32" s="35" t="s">
        <v>2164</v>
      </c>
      <c r="D32" s="35" t="s">
        <v>2165</v>
      </c>
      <c r="E32" s="35" t="s">
        <v>976</v>
      </c>
    </row>
    <row r="33" spans="1:5" x14ac:dyDescent="0.2">
      <c r="A33" s="34" t="s">
        <v>915</v>
      </c>
      <c r="B33" s="35" t="s">
        <v>972</v>
      </c>
      <c r="C33" s="35" t="s">
        <v>2153</v>
      </c>
      <c r="E33" s="35" t="s">
        <v>976</v>
      </c>
    </row>
    <row r="34" spans="1:5" ht="25.5" x14ac:dyDescent="0.2">
      <c r="A34" s="34" t="s">
        <v>945</v>
      </c>
      <c r="B34" s="35" t="s">
        <v>972</v>
      </c>
      <c r="C34" s="35" t="s">
        <v>2170</v>
      </c>
      <c r="E34" s="35" t="s">
        <v>976</v>
      </c>
    </row>
    <row r="35" spans="1:5" x14ac:dyDescent="0.2">
      <c r="A35" s="34" t="s">
        <v>924</v>
      </c>
      <c r="B35" s="35" t="s">
        <v>976</v>
      </c>
    </row>
    <row r="36" spans="1:5" x14ac:dyDescent="0.2">
      <c r="A36" s="34" t="s">
        <v>925</v>
      </c>
      <c r="B36" s="35" t="s">
        <v>972</v>
      </c>
      <c r="C36" s="35" t="s">
        <v>2156</v>
      </c>
      <c r="E36" s="35" t="s">
        <v>976</v>
      </c>
    </row>
    <row r="37" spans="1:5" x14ac:dyDescent="0.2">
      <c r="A37" s="34" t="s">
        <v>3376</v>
      </c>
      <c r="B37" s="35" t="s">
        <v>972</v>
      </c>
      <c r="C37" s="35" t="s">
        <v>2156</v>
      </c>
      <c r="E37" s="35" t="s">
        <v>976</v>
      </c>
    </row>
    <row r="38" spans="1:5" x14ac:dyDescent="0.2">
      <c r="A38" s="34" t="s">
        <v>952</v>
      </c>
      <c r="B38" s="35" t="s">
        <v>972</v>
      </c>
      <c r="C38" s="35" t="s">
        <v>2156</v>
      </c>
      <c r="E38" s="35" t="s">
        <v>976</v>
      </c>
    </row>
    <row r="39" spans="1:5" x14ac:dyDescent="0.2">
      <c r="A39" s="34" t="s">
        <v>921</v>
      </c>
      <c r="B39" s="35" t="s">
        <v>972</v>
      </c>
      <c r="C39" s="35" t="s">
        <v>2157</v>
      </c>
      <c r="D39" s="35" t="s">
        <v>2158</v>
      </c>
      <c r="E39" s="35" t="s">
        <v>976</v>
      </c>
    </row>
    <row r="40" spans="1:5" x14ac:dyDescent="0.2">
      <c r="A40" s="34" t="s">
        <v>958</v>
      </c>
      <c r="B40" s="35" t="s">
        <v>976</v>
      </c>
    </row>
    <row r="41" spans="1:5" x14ac:dyDescent="0.2">
      <c r="A41" s="34" t="s">
        <v>962</v>
      </c>
      <c r="B41" s="35" t="s">
        <v>972</v>
      </c>
      <c r="C41" s="35" t="s">
        <v>2160</v>
      </c>
    </row>
    <row r="42" spans="1:5" ht="25.5" x14ac:dyDescent="0.2">
      <c r="A42" s="34" t="s">
        <v>957</v>
      </c>
      <c r="B42" s="35" t="s">
        <v>972</v>
      </c>
      <c r="C42" s="35" t="s">
        <v>2155</v>
      </c>
      <c r="E42" s="35" t="s">
        <v>976</v>
      </c>
    </row>
    <row r="43" spans="1:5" x14ac:dyDescent="0.2">
      <c r="A43" s="34" t="s">
        <v>918</v>
      </c>
      <c r="B43" s="35" t="s">
        <v>972</v>
      </c>
      <c r="C43" s="35" t="s">
        <v>994</v>
      </c>
      <c r="D43" s="35" t="s">
        <v>2154</v>
      </c>
      <c r="E43" s="35" t="s">
        <v>976</v>
      </c>
    </row>
    <row r="44" spans="1:5" x14ac:dyDescent="0.2">
      <c r="A44" s="34" t="s">
        <v>965</v>
      </c>
      <c r="B44" s="43" t="s">
        <v>976</v>
      </c>
    </row>
    <row r="45" spans="1:5" x14ac:dyDescent="0.2">
      <c r="A45" s="34" t="s">
        <v>942</v>
      </c>
      <c r="B45" s="35" t="s">
        <v>976</v>
      </c>
    </row>
    <row r="46" spans="1:5" x14ac:dyDescent="0.2">
      <c r="A46" s="34" t="s">
        <v>955</v>
      </c>
      <c r="B46" s="35" t="s">
        <v>976</v>
      </c>
    </row>
    <row r="47" spans="1:5" ht="38.25" x14ac:dyDescent="0.2">
      <c r="A47" s="34" t="s">
        <v>967</v>
      </c>
      <c r="B47" s="35" t="s">
        <v>972</v>
      </c>
      <c r="C47" s="35" t="s">
        <v>2157</v>
      </c>
      <c r="D47" s="35" t="s">
        <v>2178</v>
      </c>
      <c r="E47" s="35" t="s">
        <v>976</v>
      </c>
    </row>
    <row r="48" spans="1:5" x14ac:dyDescent="0.2">
      <c r="A48" s="34" t="s">
        <v>964</v>
      </c>
      <c r="B48" s="35" t="s">
        <v>972</v>
      </c>
      <c r="C48" s="35" t="s">
        <v>2177</v>
      </c>
      <c r="E48" s="35" t="s">
        <v>976</v>
      </c>
    </row>
    <row r="49" spans="1:6" x14ac:dyDescent="0.2">
      <c r="A49" s="34" t="s">
        <v>951</v>
      </c>
      <c r="B49" s="35" t="s">
        <v>972</v>
      </c>
      <c r="C49" s="35" t="s">
        <v>2156</v>
      </c>
      <c r="E49" s="35" t="s">
        <v>976</v>
      </c>
    </row>
    <row r="50" spans="1:6" x14ac:dyDescent="0.2">
      <c r="A50" s="34" t="s">
        <v>954</v>
      </c>
      <c r="B50" s="35" t="s">
        <v>976</v>
      </c>
    </row>
    <row r="51" spans="1:6" x14ac:dyDescent="0.2">
      <c r="A51" s="34" t="s">
        <v>944</v>
      </c>
      <c r="B51" s="35" t="s">
        <v>972</v>
      </c>
      <c r="C51" s="35" t="s">
        <v>994</v>
      </c>
      <c r="D51" s="35" t="s">
        <v>2169</v>
      </c>
      <c r="E51" s="35" t="s">
        <v>976</v>
      </c>
    </row>
    <row r="52" spans="1:6" ht="38.25" x14ac:dyDescent="0.2">
      <c r="A52" s="34" t="s">
        <v>950</v>
      </c>
      <c r="B52" s="35" t="s">
        <v>972</v>
      </c>
      <c r="C52" s="35" t="s">
        <v>2171</v>
      </c>
      <c r="D52" s="35" t="s">
        <v>2172</v>
      </c>
      <c r="E52" s="35" t="s">
        <v>976</v>
      </c>
    </row>
    <row r="53" spans="1:6" x14ac:dyDescent="0.2">
      <c r="A53" s="34" t="s">
        <v>940</v>
      </c>
      <c r="B53" s="35" t="s">
        <v>972</v>
      </c>
      <c r="C53" s="35" t="s">
        <v>2160</v>
      </c>
      <c r="E53" s="35" t="s">
        <v>976</v>
      </c>
    </row>
    <row r="54" spans="1:6" ht="51" x14ac:dyDescent="0.2">
      <c r="A54" s="34" t="s">
        <v>960</v>
      </c>
      <c r="B54" s="35" t="s">
        <v>972</v>
      </c>
      <c r="C54" s="35" t="s">
        <v>2173</v>
      </c>
      <c r="D54" s="35" t="s">
        <v>2174</v>
      </c>
      <c r="E54" s="35" t="s">
        <v>976</v>
      </c>
    </row>
    <row r="55" spans="1:6" ht="38.25" x14ac:dyDescent="0.2">
      <c r="A55" s="34" t="s">
        <v>916</v>
      </c>
      <c r="B55" s="43" t="s">
        <v>972</v>
      </c>
      <c r="C55" s="35" t="s">
        <v>3799</v>
      </c>
      <c r="E55" s="35" t="s">
        <v>976</v>
      </c>
    </row>
    <row r="56" spans="1:6" x14ac:dyDescent="0.2">
      <c r="A56" s="34" t="s">
        <v>946</v>
      </c>
      <c r="B56" s="35" t="s">
        <v>976</v>
      </c>
    </row>
    <row r="57" spans="1:6" ht="25.5" x14ac:dyDescent="0.2">
      <c r="A57" s="34" t="s">
        <v>919</v>
      </c>
      <c r="C57" s="35" t="s">
        <v>2155</v>
      </c>
      <c r="E57" s="35" t="s">
        <v>976</v>
      </c>
    </row>
    <row r="58" spans="1:6" x14ac:dyDescent="0.2">
      <c r="A58" s="34" t="s">
        <v>929</v>
      </c>
      <c r="B58" s="35" t="s">
        <v>976</v>
      </c>
    </row>
    <row r="59" spans="1:6" x14ac:dyDescent="0.2">
      <c r="A59" s="34" t="s">
        <v>943</v>
      </c>
      <c r="B59" s="35" t="s">
        <v>976</v>
      </c>
    </row>
    <row r="60" spans="1:6" x14ac:dyDescent="0.2">
      <c r="A60" s="34" t="s">
        <v>953</v>
      </c>
      <c r="B60" s="35" t="s">
        <v>976</v>
      </c>
    </row>
    <row r="61" spans="1:6" x14ac:dyDescent="0.2">
      <c r="A61" s="20" t="s">
        <v>3541</v>
      </c>
      <c r="B61" s="21">
        <f>COUNTA(B3:B60)</f>
        <v>57</v>
      </c>
      <c r="C61" s="21">
        <f t="shared" ref="C61:F61" si="0">COUNTA(C3:C60)</f>
        <v>37</v>
      </c>
      <c r="D61" s="21">
        <f t="shared" si="0"/>
        <v>10</v>
      </c>
      <c r="E61" s="21">
        <f t="shared" si="0"/>
        <v>36</v>
      </c>
      <c r="F61" s="21">
        <f t="shared" si="0"/>
        <v>1</v>
      </c>
    </row>
  </sheetData>
  <autoFilter ref="A2:F61" xr:uid="{5D5CC084-4EF1-4D76-86B6-F2B5ECEEAA08}"/>
  <sortState xmlns:xlrd2="http://schemas.microsoft.com/office/spreadsheetml/2017/richdata2" ref="A3:F60">
    <sortCondition ref="A3:A60"/>
  </sortState>
  <conditionalFormatting sqref="A3:A59">
    <cfRule type="duplicateValues" dxfId="8" priority="2"/>
    <cfRule type="duplicateValues" dxfId="7" priority="3"/>
  </conditionalFormatting>
  <conditionalFormatting sqref="A60">
    <cfRule type="duplicateValues" dxfId="6" priority="1"/>
  </conditionalFormatting>
  <hyperlinks>
    <hyperlink ref="A1" location="Index!A1" display="Back to Index"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S70"/>
  <sheetViews>
    <sheetView zoomScaleNormal="100" workbookViewId="0">
      <pane xSplit="1" ySplit="2" topLeftCell="B3" activePane="bottomRight" state="frozen"/>
      <selection sqref="A1:B1"/>
      <selection pane="topRight" sqref="A1:B1"/>
      <selection pane="bottomLeft" sqref="A1:B1"/>
      <selection pane="bottomRight" activeCell="B3" sqref="B3"/>
    </sheetView>
  </sheetViews>
  <sheetFormatPr defaultRowHeight="12.75" x14ac:dyDescent="0.2"/>
  <cols>
    <col min="1" max="1" width="13.5703125" style="34" bestFit="1" customWidth="1"/>
    <col min="2" max="2" width="60.7109375" style="7" customWidth="1"/>
    <col min="3" max="11" width="30.7109375" style="7" customWidth="1"/>
    <col min="12" max="12" width="30.7109375" style="8" customWidth="1"/>
    <col min="13" max="16" width="30.7109375" style="7" customWidth="1"/>
    <col min="17" max="17" width="30.7109375" style="8" customWidth="1"/>
    <col min="18" max="26" width="30.7109375" style="7" customWidth="1"/>
    <col min="27" max="27" width="30.7109375" style="8" customWidth="1"/>
    <col min="28" max="28" width="100.7109375" style="7" customWidth="1"/>
    <col min="29" max="35" width="30.7109375" style="7" customWidth="1"/>
    <col min="36" max="36" width="30.7109375" style="8" customWidth="1"/>
    <col min="37" max="41" width="30.7109375" style="7" customWidth="1"/>
    <col min="42" max="42" width="60.7109375" style="7" customWidth="1"/>
    <col min="43" max="45" width="30.7109375" style="7" customWidth="1"/>
    <col min="46" max="46" width="30.7109375" style="8" customWidth="1"/>
    <col min="47" max="47" width="60.7109375" style="7" customWidth="1"/>
    <col min="48" max="51" width="30.7109375" style="7" customWidth="1"/>
    <col min="52" max="52" width="30.7109375" style="8" customWidth="1"/>
    <col min="53" max="58" width="30.7109375" style="7" customWidth="1"/>
    <col min="59" max="59" width="75.7109375" style="7" customWidth="1"/>
    <col min="60" max="68" width="30.7109375" style="7" customWidth="1"/>
    <col min="69" max="69" width="90.7109375" style="7" customWidth="1"/>
    <col min="70" max="75" width="30.7109375" style="7" customWidth="1"/>
    <col min="76" max="76" width="30.7109375" style="8" customWidth="1"/>
    <col min="77" max="80" width="30.7109375" style="7" customWidth="1"/>
    <col min="81" max="81" width="30.7109375" style="8" customWidth="1"/>
    <col min="82" max="82" width="50.7109375" style="7" customWidth="1"/>
    <col min="83" max="89" width="30.7109375" style="7" customWidth="1"/>
    <col min="90" max="90" width="30.7109375" style="24" customWidth="1"/>
    <col min="91" max="91" width="60.7109375" style="7" customWidth="1"/>
    <col min="92" max="94" width="30.7109375" style="7" customWidth="1"/>
    <col min="95" max="95" width="30.7109375" style="8" customWidth="1"/>
    <col min="96" max="99" width="30.7109375" style="7" customWidth="1"/>
    <col min="100" max="100" width="30.7109375" style="24" customWidth="1"/>
    <col min="101" max="109" width="30.7109375" style="7" customWidth="1"/>
    <col min="110" max="110" width="30.7109375" style="8" customWidth="1"/>
    <col min="111" max="111" width="75.7109375" style="7" customWidth="1"/>
    <col min="112" max="114" width="30.7109375" style="7" customWidth="1"/>
    <col min="115" max="115" width="30.7109375" style="8" customWidth="1"/>
    <col min="116" max="116" width="60.7109375" style="7" customWidth="1"/>
    <col min="117" max="120" width="30.7109375" style="7" customWidth="1"/>
    <col min="121" max="121" width="100.7109375" style="7" customWidth="1"/>
    <col min="122" max="123" width="30.7109375" style="7" customWidth="1"/>
    <col min="124" max="16384" width="9.140625" style="34"/>
  </cols>
  <sheetData>
    <row r="1" spans="1:123" s="33" customFormat="1" x14ac:dyDescent="0.2">
      <c r="A1" s="31" t="s">
        <v>969</v>
      </c>
      <c r="B1" s="1" t="s">
        <v>668</v>
      </c>
      <c r="C1" s="1" t="s">
        <v>669</v>
      </c>
      <c r="D1" s="1" t="s">
        <v>670</v>
      </c>
      <c r="E1" s="1" t="s">
        <v>671</v>
      </c>
      <c r="F1" s="1" t="s">
        <v>672</v>
      </c>
      <c r="G1" s="1" t="s">
        <v>673</v>
      </c>
      <c r="H1" s="1" t="s">
        <v>674</v>
      </c>
      <c r="I1" s="1" t="s">
        <v>675</v>
      </c>
      <c r="J1" s="1" t="s">
        <v>676</v>
      </c>
      <c r="K1" s="1" t="s">
        <v>677</v>
      </c>
      <c r="L1" s="2" t="s">
        <v>678</v>
      </c>
      <c r="M1" s="1" t="s">
        <v>679</v>
      </c>
      <c r="N1" s="1" t="s">
        <v>680</v>
      </c>
      <c r="O1" s="1" t="s">
        <v>681</v>
      </c>
      <c r="P1" s="1" t="s">
        <v>682</v>
      </c>
      <c r="Q1" s="2" t="s">
        <v>683</v>
      </c>
      <c r="R1" s="1" t="s">
        <v>684</v>
      </c>
      <c r="S1" s="1" t="s">
        <v>685</v>
      </c>
      <c r="T1" s="1" t="s">
        <v>686</v>
      </c>
      <c r="U1" s="1" t="s">
        <v>687</v>
      </c>
      <c r="V1" s="1" t="s">
        <v>688</v>
      </c>
      <c r="W1" s="1" t="s">
        <v>689</v>
      </c>
      <c r="X1" s="1" t="s">
        <v>690</v>
      </c>
      <c r="Y1" s="1" t="s">
        <v>691</v>
      </c>
      <c r="Z1" s="1" t="s">
        <v>692</v>
      </c>
      <c r="AA1" s="2" t="s">
        <v>693</v>
      </c>
      <c r="AB1" s="1" t="s">
        <v>694</v>
      </c>
      <c r="AC1" s="1" t="s">
        <v>695</v>
      </c>
      <c r="AD1" s="1" t="s">
        <v>696</v>
      </c>
      <c r="AE1" s="1" t="s">
        <v>697</v>
      </c>
      <c r="AF1" s="1" t="s">
        <v>698</v>
      </c>
      <c r="AG1" s="1" t="s">
        <v>699</v>
      </c>
      <c r="AH1" s="1" t="s">
        <v>700</v>
      </c>
      <c r="AI1" s="1" t="s">
        <v>701</v>
      </c>
      <c r="AJ1" s="2" t="s">
        <v>702</v>
      </c>
      <c r="AK1" s="1" t="s">
        <v>703</v>
      </c>
      <c r="AL1" s="1" t="s">
        <v>704</v>
      </c>
      <c r="AM1" s="1" t="s">
        <v>705</v>
      </c>
      <c r="AN1" s="1" t="s">
        <v>706</v>
      </c>
      <c r="AO1" s="1" t="s">
        <v>707</v>
      </c>
      <c r="AP1" s="1" t="s">
        <v>708</v>
      </c>
      <c r="AQ1" s="1" t="s">
        <v>709</v>
      </c>
      <c r="AR1" s="1" t="s">
        <v>710</v>
      </c>
      <c r="AS1" s="1" t="s">
        <v>711</v>
      </c>
      <c r="AT1" s="2" t="s">
        <v>712</v>
      </c>
      <c r="AU1" s="1" t="s">
        <v>713</v>
      </c>
      <c r="AV1" s="1" t="s">
        <v>714</v>
      </c>
      <c r="AW1" s="1" t="s">
        <v>715</v>
      </c>
      <c r="AX1" s="1" t="s">
        <v>716</v>
      </c>
      <c r="AY1" s="1" t="s">
        <v>717</v>
      </c>
      <c r="AZ1" s="2" t="s">
        <v>718</v>
      </c>
      <c r="BA1" s="1" t="s">
        <v>719</v>
      </c>
      <c r="BB1" s="1" t="s">
        <v>720</v>
      </c>
      <c r="BC1" s="1" t="s">
        <v>721</v>
      </c>
      <c r="BD1" s="1" t="s">
        <v>722</v>
      </c>
      <c r="BE1" s="1" t="s">
        <v>723</v>
      </c>
      <c r="BF1" s="1" t="s">
        <v>724</v>
      </c>
      <c r="BG1" s="1" t="s">
        <v>725</v>
      </c>
      <c r="BH1" s="1" t="s">
        <v>726</v>
      </c>
      <c r="BI1" s="1" t="s">
        <v>727</v>
      </c>
      <c r="BJ1" s="1" t="s">
        <v>728</v>
      </c>
      <c r="BK1" s="1" t="s">
        <v>729</v>
      </c>
      <c r="BL1" s="1" t="s">
        <v>730</v>
      </c>
      <c r="BM1" s="1" t="s">
        <v>731</v>
      </c>
      <c r="BN1" s="1" t="s">
        <v>732</v>
      </c>
      <c r="BO1" s="1" t="s">
        <v>733</v>
      </c>
      <c r="BP1" s="1" t="s">
        <v>734</v>
      </c>
      <c r="BQ1" s="1" t="s">
        <v>735</v>
      </c>
      <c r="BR1" s="1" t="s">
        <v>736</v>
      </c>
      <c r="BS1" s="1" t="s">
        <v>737</v>
      </c>
      <c r="BT1" s="1" t="s">
        <v>738</v>
      </c>
      <c r="BU1" s="1" t="s">
        <v>739</v>
      </c>
      <c r="BV1" s="1" t="s">
        <v>740</v>
      </c>
      <c r="BW1" s="1" t="s">
        <v>741</v>
      </c>
      <c r="BX1" s="2" t="s">
        <v>742</v>
      </c>
      <c r="BY1" s="1" t="s">
        <v>743</v>
      </c>
      <c r="BZ1" s="1" t="s">
        <v>744</v>
      </c>
      <c r="CA1" s="1" t="s">
        <v>745</v>
      </c>
      <c r="CB1" s="1" t="s">
        <v>746</v>
      </c>
      <c r="CC1" s="2" t="s">
        <v>747</v>
      </c>
      <c r="CD1" s="1" t="s">
        <v>748</v>
      </c>
      <c r="CE1" s="1" t="s">
        <v>749</v>
      </c>
      <c r="CF1" s="1" t="s">
        <v>750</v>
      </c>
      <c r="CG1" s="1" t="s">
        <v>751</v>
      </c>
      <c r="CH1" s="1" t="s">
        <v>752</v>
      </c>
      <c r="CI1" s="1" t="s">
        <v>753</v>
      </c>
      <c r="CJ1" s="1" t="s">
        <v>754</v>
      </c>
      <c r="CK1" s="1" t="s">
        <v>755</v>
      </c>
      <c r="CL1" s="22" t="s">
        <v>756</v>
      </c>
      <c r="CM1" s="1" t="s">
        <v>757</v>
      </c>
      <c r="CN1" s="1" t="s">
        <v>758</v>
      </c>
      <c r="CO1" s="1" t="s">
        <v>759</v>
      </c>
      <c r="CP1" s="1" t="s">
        <v>760</v>
      </c>
      <c r="CQ1" s="2" t="s">
        <v>761</v>
      </c>
      <c r="CR1" s="1" t="s">
        <v>762</v>
      </c>
      <c r="CS1" s="1" t="s">
        <v>763</v>
      </c>
      <c r="CT1" s="1" t="s">
        <v>764</v>
      </c>
      <c r="CU1" s="1" t="s">
        <v>765</v>
      </c>
      <c r="CV1" s="22" t="s">
        <v>766</v>
      </c>
      <c r="CW1" s="1" t="s">
        <v>767</v>
      </c>
      <c r="CX1" s="1" t="s">
        <v>768</v>
      </c>
      <c r="CY1" s="1" t="s">
        <v>769</v>
      </c>
      <c r="CZ1" s="1" t="s">
        <v>770</v>
      </c>
      <c r="DA1" s="1" t="s">
        <v>771</v>
      </c>
      <c r="DB1" s="1" t="s">
        <v>772</v>
      </c>
      <c r="DC1" s="1" t="s">
        <v>773</v>
      </c>
      <c r="DD1" s="1" t="s">
        <v>774</v>
      </c>
      <c r="DE1" s="1" t="s">
        <v>775</v>
      </c>
      <c r="DF1" s="2" t="s">
        <v>776</v>
      </c>
      <c r="DG1" s="1" t="s">
        <v>777</v>
      </c>
      <c r="DH1" s="1" t="s">
        <v>778</v>
      </c>
      <c r="DI1" s="1" t="s">
        <v>779</v>
      </c>
      <c r="DJ1" s="1" t="s">
        <v>780</v>
      </c>
      <c r="DK1" s="2" t="s">
        <v>781</v>
      </c>
      <c r="DL1" s="1" t="s">
        <v>782</v>
      </c>
      <c r="DM1" s="1" t="s">
        <v>783</v>
      </c>
      <c r="DN1" s="1" t="s">
        <v>784</v>
      </c>
      <c r="DO1" s="1" t="s">
        <v>785</v>
      </c>
      <c r="DP1" s="1" t="s">
        <v>786</v>
      </c>
      <c r="DQ1" s="1" t="s">
        <v>787</v>
      </c>
      <c r="DR1" s="1" t="s">
        <v>788</v>
      </c>
      <c r="DS1" s="1" t="s">
        <v>789</v>
      </c>
    </row>
    <row r="2" spans="1:123" s="33" customFormat="1" ht="63.75" x14ac:dyDescent="0.2">
      <c r="A2" s="33" t="s">
        <v>968</v>
      </c>
      <c r="B2" s="4" t="s">
        <v>3576</v>
      </c>
      <c r="C2" s="1" t="s">
        <v>3458</v>
      </c>
      <c r="D2" s="1" t="s">
        <v>3196</v>
      </c>
      <c r="E2" s="1" t="s">
        <v>3197</v>
      </c>
      <c r="F2" s="1" t="s">
        <v>3489</v>
      </c>
      <c r="G2" s="1" t="s">
        <v>3198</v>
      </c>
      <c r="H2" s="4" t="s">
        <v>3459</v>
      </c>
      <c r="I2" s="4" t="s">
        <v>3199</v>
      </c>
      <c r="J2" s="4" t="s">
        <v>3200</v>
      </c>
      <c r="K2" s="4" t="s">
        <v>3201</v>
      </c>
      <c r="L2" s="5" t="s">
        <v>3202</v>
      </c>
      <c r="M2" s="1" t="s">
        <v>3460</v>
      </c>
      <c r="N2" s="1" t="s">
        <v>3203</v>
      </c>
      <c r="O2" s="1" t="s">
        <v>3204</v>
      </c>
      <c r="P2" s="1" t="s">
        <v>3205</v>
      </c>
      <c r="Q2" s="2" t="s">
        <v>3206</v>
      </c>
      <c r="R2" s="4" t="s">
        <v>3461</v>
      </c>
      <c r="S2" s="4" t="s">
        <v>3207</v>
      </c>
      <c r="T2" s="4" t="s">
        <v>3208</v>
      </c>
      <c r="U2" s="4" t="s">
        <v>3209</v>
      </c>
      <c r="V2" s="4" t="s">
        <v>3210</v>
      </c>
      <c r="W2" s="1" t="s">
        <v>3462</v>
      </c>
      <c r="X2" s="1" t="s">
        <v>3211</v>
      </c>
      <c r="Y2" s="1" t="s">
        <v>3212</v>
      </c>
      <c r="Z2" s="1" t="s">
        <v>3213</v>
      </c>
      <c r="AA2" s="2" t="s">
        <v>3214</v>
      </c>
      <c r="AB2" s="4" t="s">
        <v>3463</v>
      </c>
      <c r="AC2" s="4" t="s">
        <v>3215</v>
      </c>
      <c r="AD2" s="4" t="s">
        <v>3216</v>
      </c>
      <c r="AE2" s="4" t="s">
        <v>3217</v>
      </c>
      <c r="AF2" s="4" t="s">
        <v>3464</v>
      </c>
      <c r="AG2" s="4" t="s">
        <v>3218</v>
      </c>
      <c r="AH2" s="4" t="s">
        <v>3219</v>
      </c>
      <c r="AI2" s="4" t="s">
        <v>3220</v>
      </c>
      <c r="AJ2" s="5" t="s">
        <v>3221</v>
      </c>
      <c r="AK2" s="1" t="s">
        <v>3465</v>
      </c>
      <c r="AL2" s="1" t="s">
        <v>3222</v>
      </c>
      <c r="AM2" s="1" t="s">
        <v>3223</v>
      </c>
      <c r="AN2" s="1" t="s">
        <v>3224</v>
      </c>
      <c r="AO2" s="1" t="s">
        <v>3225</v>
      </c>
      <c r="AP2" s="4" t="s">
        <v>3466</v>
      </c>
      <c r="AQ2" s="4" t="s">
        <v>3226</v>
      </c>
      <c r="AR2" s="4" t="s">
        <v>3227</v>
      </c>
      <c r="AS2" s="4" t="s">
        <v>3228</v>
      </c>
      <c r="AT2" s="5" t="s">
        <v>3229</v>
      </c>
      <c r="AU2" s="1" t="s">
        <v>3467</v>
      </c>
      <c r="AV2" s="1" t="s">
        <v>3230</v>
      </c>
      <c r="AW2" s="1" t="s">
        <v>3231</v>
      </c>
      <c r="AX2" s="1" t="s">
        <v>3232</v>
      </c>
      <c r="AY2" s="1" t="s">
        <v>3233</v>
      </c>
      <c r="AZ2" s="2" t="s">
        <v>3234</v>
      </c>
      <c r="BA2" s="4" t="s">
        <v>3468</v>
      </c>
      <c r="BB2" s="4" t="s">
        <v>3235</v>
      </c>
      <c r="BC2" s="4" t="s">
        <v>3236</v>
      </c>
      <c r="BD2" s="4" t="s">
        <v>3237</v>
      </c>
      <c r="BE2" s="4" t="s">
        <v>3238</v>
      </c>
      <c r="BF2" s="4" t="s">
        <v>3239</v>
      </c>
      <c r="BG2" s="1" t="s">
        <v>3469</v>
      </c>
      <c r="BH2" s="1" t="s">
        <v>3240</v>
      </c>
      <c r="BI2" s="1" t="s">
        <v>3241</v>
      </c>
      <c r="BJ2" s="1" t="s">
        <v>3242</v>
      </c>
      <c r="BK2" s="1" t="s">
        <v>3243</v>
      </c>
      <c r="BL2" s="4" t="s">
        <v>3470</v>
      </c>
      <c r="BM2" s="4" t="s">
        <v>3244</v>
      </c>
      <c r="BN2" s="4" t="s">
        <v>3245</v>
      </c>
      <c r="BO2" s="4" t="s">
        <v>3246</v>
      </c>
      <c r="BP2" s="4" t="s">
        <v>3247</v>
      </c>
      <c r="BQ2" s="1" t="s">
        <v>3471</v>
      </c>
      <c r="BR2" s="1" t="s">
        <v>3248</v>
      </c>
      <c r="BS2" s="1" t="s">
        <v>3249</v>
      </c>
      <c r="BT2" s="1" t="s">
        <v>3250</v>
      </c>
      <c r="BU2" s="1" t="s">
        <v>3251</v>
      </c>
      <c r="BV2" s="1" t="s">
        <v>3252</v>
      </c>
      <c r="BW2" s="1" t="s">
        <v>3253</v>
      </c>
      <c r="BX2" s="2" t="s">
        <v>3254</v>
      </c>
      <c r="BY2" s="4" t="s">
        <v>3477</v>
      </c>
      <c r="BZ2" s="4" t="s">
        <v>3478</v>
      </c>
      <c r="CA2" s="4" t="s">
        <v>3479</v>
      </c>
      <c r="CB2" s="4" t="s">
        <v>3480</v>
      </c>
      <c r="CC2" s="5" t="s">
        <v>3481</v>
      </c>
      <c r="CD2" s="1" t="s">
        <v>3472</v>
      </c>
      <c r="CE2" s="1" t="s">
        <v>3473</v>
      </c>
      <c r="CF2" s="1" t="s">
        <v>3474</v>
      </c>
      <c r="CG2" s="1" t="s">
        <v>3475</v>
      </c>
      <c r="CH2" s="1" t="s">
        <v>3255</v>
      </c>
      <c r="CI2" s="1" t="s">
        <v>3256</v>
      </c>
      <c r="CJ2" s="1" t="s">
        <v>3257</v>
      </c>
      <c r="CK2" s="1" t="s">
        <v>3258</v>
      </c>
      <c r="CL2" s="22" t="s">
        <v>3476</v>
      </c>
      <c r="CM2" s="4" t="s">
        <v>3482</v>
      </c>
      <c r="CN2" s="4" t="s">
        <v>3259</v>
      </c>
      <c r="CO2" s="4" t="s">
        <v>3260</v>
      </c>
      <c r="CP2" s="4" t="s">
        <v>3261</v>
      </c>
      <c r="CQ2" s="5" t="s">
        <v>3262</v>
      </c>
      <c r="CR2" s="1" t="s">
        <v>3483</v>
      </c>
      <c r="CS2" s="1" t="s">
        <v>3263</v>
      </c>
      <c r="CT2" s="1" t="s">
        <v>3264</v>
      </c>
      <c r="CU2" s="1" t="s">
        <v>3265</v>
      </c>
      <c r="CV2" s="22" t="s">
        <v>3266</v>
      </c>
      <c r="CW2" s="4" t="s">
        <v>3484</v>
      </c>
      <c r="CX2" s="4" t="s">
        <v>3267</v>
      </c>
      <c r="CY2" s="4" t="s">
        <v>3268</v>
      </c>
      <c r="CZ2" s="4" t="s">
        <v>3269</v>
      </c>
      <c r="DA2" s="4" t="s">
        <v>3270</v>
      </c>
      <c r="DB2" s="1" t="s">
        <v>3485</v>
      </c>
      <c r="DC2" s="1" t="s">
        <v>3271</v>
      </c>
      <c r="DD2" s="1" t="s">
        <v>3272</v>
      </c>
      <c r="DE2" s="1" t="s">
        <v>3273</v>
      </c>
      <c r="DF2" s="2" t="s">
        <v>3274</v>
      </c>
      <c r="DG2" s="4" t="s">
        <v>3486</v>
      </c>
      <c r="DH2" s="4" t="s">
        <v>3275</v>
      </c>
      <c r="DI2" s="4" t="s">
        <v>3276</v>
      </c>
      <c r="DJ2" s="4" t="s">
        <v>3277</v>
      </c>
      <c r="DK2" s="5" t="s">
        <v>3278</v>
      </c>
      <c r="DL2" s="1" t="s">
        <v>3487</v>
      </c>
      <c r="DM2" s="1" t="s">
        <v>3279</v>
      </c>
      <c r="DN2" s="1" t="s">
        <v>3280</v>
      </c>
      <c r="DO2" s="1" t="s">
        <v>3281</v>
      </c>
      <c r="DP2" s="1" t="s">
        <v>3282</v>
      </c>
      <c r="DQ2" s="4" t="s">
        <v>3488</v>
      </c>
      <c r="DR2" s="1" t="s">
        <v>3577</v>
      </c>
      <c r="DS2" s="1" t="s">
        <v>3578</v>
      </c>
    </row>
    <row r="3" spans="1:123" ht="38.25" x14ac:dyDescent="0.2">
      <c r="A3" s="34" t="s">
        <v>922</v>
      </c>
      <c r="B3" s="7" t="s">
        <v>2227</v>
      </c>
      <c r="R3" s="7" t="s">
        <v>2228</v>
      </c>
      <c r="S3" s="7" t="s">
        <v>977</v>
      </c>
      <c r="U3" s="7">
        <v>0</v>
      </c>
      <c r="BQ3" s="7" t="s">
        <v>2229</v>
      </c>
      <c r="BR3" s="7" t="s">
        <v>977</v>
      </c>
      <c r="BT3" s="7">
        <v>0</v>
      </c>
      <c r="BU3" s="7" t="s">
        <v>1979</v>
      </c>
      <c r="BW3" s="7" t="s">
        <v>972</v>
      </c>
      <c r="CD3" s="7" t="s">
        <v>2230</v>
      </c>
      <c r="CE3" s="7" t="s">
        <v>977</v>
      </c>
      <c r="CG3" s="7">
        <v>0</v>
      </c>
      <c r="CH3" s="7" t="s">
        <v>2194</v>
      </c>
      <c r="CL3" s="24">
        <v>18327.5</v>
      </c>
      <c r="CM3" s="7" t="s">
        <v>2231</v>
      </c>
      <c r="CN3" s="7" t="s">
        <v>977</v>
      </c>
      <c r="CP3" s="7" t="s">
        <v>2232</v>
      </c>
      <c r="CQ3" s="8">
        <v>3647</v>
      </c>
      <c r="DR3" s="7" t="s">
        <v>976</v>
      </c>
    </row>
    <row r="4" spans="1:123" ht="51" x14ac:dyDescent="0.2">
      <c r="A4" s="34" t="s">
        <v>930</v>
      </c>
      <c r="B4" s="7" t="s">
        <v>2260</v>
      </c>
      <c r="W4" s="7" t="s">
        <v>2261</v>
      </c>
      <c r="CD4" s="7" t="s">
        <v>2262</v>
      </c>
      <c r="CE4" s="7" t="s">
        <v>990</v>
      </c>
      <c r="CF4" s="7" t="s">
        <v>2263</v>
      </c>
      <c r="CG4" s="7">
        <v>0</v>
      </c>
      <c r="CH4" s="7" t="s">
        <v>990</v>
      </c>
      <c r="CI4" s="7" t="s">
        <v>2264</v>
      </c>
      <c r="DB4" s="7" t="s">
        <v>2265</v>
      </c>
      <c r="DC4" s="7" t="s">
        <v>977</v>
      </c>
      <c r="DE4" s="7">
        <v>0</v>
      </c>
      <c r="DF4" s="8">
        <v>110</v>
      </c>
      <c r="DG4" s="7" t="s">
        <v>2266</v>
      </c>
      <c r="DH4" s="7" t="s">
        <v>977</v>
      </c>
      <c r="DJ4" s="7">
        <v>0</v>
      </c>
      <c r="DK4" s="8">
        <v>370</v>
      </c>
    </row>
    <row r="5" spans="1:123" ht="63.75" x14ac:dyDescent="0.2">
      <c r="A5" s="34" t="s">
        <v>927</v>
      </c>
      <c r="B5" s="7" t="s">
        <v>3808</v>
      </c>
      <c r="S5" s="7" t="s">
        <v>977</v>
      </c>
      <c r="U5" s="7">
        <v>0</v>
      </c>
      <c r="AC5" s="7" t="s">
        <v>977</v>
      </c>
      <c r="AE5" s="7">
        <v>0</v>
      </c>
      <c r="AG5" s="7" t="s">
        <v>977</v>
      </c>
      <c r="AI5" s="7">
        <v>0</v>
      </c>
      <c r="AL5" s="7" t="s">
        <v>977</v>
      </c>
      <c r="AN5" s="7">
        <v>0</v>
      </c>
      <c r="AQ5" s="7" t="s">
        <v>977</v>
      </c>
      <c r="AS5" s="7">
        <v>0</v>
      </c>
      <c r="AV5" s="7" t="s">
        <v>977</v>
      </c>
      <c r="AX5" s="7">
        <v>0</v>
      </c>
      <c r="BR5" s="7" t="s">
        <v>977</v>
      </c>
      <c r="BT5" s="7">
        <v>0</v>
      </c>
      <c r="BU5" s="7" t="s">
        <v>1979</v>
      </c>
      <c r="BW5" s="7" t="s">
        <v>976</v>
      </c>
      <c r="CE5" s="7" t="s">
        <v>977</v>
      </c>
      <c r="CG5" s="7">
        <v>0</v>
      </c>
      <c r="CH5" s="7" t="s">
        <v>2194</v>
      </c>
      <c r="CN5" s="7" t="s">
        <v>977</v>
      </c>
      <c r="CP5" s="7" t="s">
        <v>2250</v>
      </c>
    </row>
    <row r="6" spans="1:123" x14ac:dyDescent="0.2">
      <c r="A6" s="34" t="s">
        <v>914</v>
      </c>
      <c r="DQ6" s="7" t="s">
        <v>2195</v>
      </c>
      <c r="DR6" s="7" t="s">
        <v>976</v>
      </c>
    </row>
    <row r="7" spans="1:123" ht="51" x14ac:dyDescent="0.2">
      <c r="A7" s="34" t="s">
        <v>920</v>
      </c>
      <c r="B7" s="7" t="s">
        <v>2220</v>
      </c>
      <c r="H7" s="7" t="s">
        <v>1025</v>
      </c>
      <c r="I7" s="7" t="s">
        <v>977</v>
      </c>
      <c r="K7" s="7">
        <v>0</v>
      </c>
      <c r="M7" s="7" t="s">
        <v>2221</v>
      </c>
      <c r="N7" s="7" t="s">
        <v>977</v>
      </c>
      <c r="P7" s="7">
        <v>0</v>
      </c>
      <c r="Q7" s="8">
        <v>3120</v>
      </c>
      <c r="CD7" s="7" t="s">
        <v>2222</v>
      </c>
      <c r="CE7" s="7" t="s">
        <v>977</v>
      </c>
      <c r="CH7" s="7" t="s">
        <v>2194</v>
      </c>
      <c r="DB7" s="7" t="s">
        <v>2223</v>
      </c>
      <c r="DC7" s="7" t="s">
        <v>977</v>
      </c>
      <c r="DE7" s="7">
        <v>0</v>
      </c>
      <c r="DR7" s="7" t="s">
        <v>976</v>
      </c>
    </row>
    <row r="8" spans="1:123" ht="38.25" x14ac:dyDescent="0.2">
      <c r="A8" s="34" t="s">
        <v>959</v>
      </c>
      <c r="B8" s="7" t="s">
        <v>3820</v>
      </c>
      <c r="AF8" s="7" t="s">
        <v>2408</v>
      </c>
      <c r="AG8" s="7" t="s">
        <v>977</v>
      </c>
      <c r="AI8" s="7">
        <v>0</v>
      </c>
      <c r="AU8" s="7" t="s">
        <v>2409</v>
      </c>
      <c r="AV8" s="7" t="s">
        <v>977</v>
      </c>
      <c r="AX8" s="7">
        <v>0</v>
      </c>
      <c r="AY8" s="7">
        <v>10</v>
      </c>
      <c r="CD8" s="7" t="s">
        <v>2410</v>
      </c>
      <c r="CE8" s="7" t="s">
        <v>977</v>
      </c>
      <c r="CG8" s="7">
        <v>0</v>
      </c>
      <c r="CH8" s="7" t="s">
        <v>2194</v>
      </c>
      <c r="CM8" s="7" t="s">
        <v>2411</v>
      </c>
      <c r="CN8" s="7" t="s">
        <v>977</v>
      </c>
      <c r="CP8" s="7" t="s">
        <v>2349</v>
      </c>
      <c r="DG8" s="7" t="s">
        <v>2412</v>
      </c>
    </row>
    <row r="9" spans="1:123" x14ac:dyDescent="0.2">
      <c r="A9" s="34" t="s">
        <v>933</v>
      </c>
      <c r="DR9" s="7" t="s">
        <v>976</v>
      </c>
    </row>
    <row r="10" spans="1:123" ht="63.75" x14ac:dyDescent="0.2">
      <c r="A10" s="34" t="s">
        <v>912</v>
      </c>
      <c r="B10" s="7" t="s">
        <v>3889</v>
      </c>
      <c r="AB10" s="7" t="s">
        <v>2184</v>
      </c>
      <c r="AC10" s="7" t="s">
        <v>977</v>
      </c>
      <c r="AE10" s="7">
        <v>0</v>
      </c>
      <c r="AF10" s="7" t="s">
        <v>2185</v>
      </c>
      <c r="AG10" s="7" t="s">
        <v>977</v>
      </c>
      <c r="AI10" s="7">
        <v>0</v>
      </c>
      <c r="AP10" s="7" t="s">
        <v>2186</v>
      </c>
      <c r="AQ10" s="7" t="s">
        <v>977</v>
      </c>
      <c r="AS10" s="7">
        <v>0</v>
      </c>
      <c r="AU10" s="7" t="s">
        <v>2186</v>
      </c>
      <c r="AV10" s="7" t="s">
        <v>977</v>
      </c>
      <c r="AX10" s="7">
        <v>0</v>
      </c>
      <c r="BQ10" s="7" t="s">
        <v>2187</v>
      </c>
      <c r="BT10" s="7">
        <v>365</v>
      </c>
      <c r="BU10" s="7" t="s">
        <v>1979</v>
      </c>
      <c r="BW10" s="7" t="s">
        <v>972</v>
      </c>
      <c r="BX10" s="8">
        <v>4000</v>
      </c>
      <c r="CM10" s="7" t="s">
        <v>2188</v>
      </c>
      <c r="CN10" s="7" t="s">
        <v>977</v>
      </c>
      <c r="CP10" s="7" t="s">
        <v>2189</v>
      </c>
      <c r="CR10" s="7" t="s">
        <v>2190</v>
      </c>
      <c r="CS10" s="7" t="s">
        <v>977</v>
      </c>
      <c r="CU10" s="7">
        <v>0</v>
      </c>
      <c r="CW10" s="7" t="s">
        <v>2190</v>
      </c>
      <c r="CZ10" s="7">
        <v>0</v>
      </c>
      <c r="DB10" s="7" t="s">
        <v>2190</v>
      </c>
      <c r="DC10" s="7" t="s">
        <v>977</v>
      </c>
      <c r="DE10" s="7">
        <v>0</v>
      </c>
      <c r="DG10" s="7" t="s">
        <v>2191</v>
      </c>
      <c r="DH10" s="7" t="s">
        <v>977</v>
      </c>
      <c r="DJ10" s="7">
        <v>0</v>
      </c>
      <c r="DR10" s="7" t="s">
        <v>976</v>
      </c>
    </row>
    <row r="11" spans="1:123" ht="51" x14ac:dyDescent="0.2">
      <c r="A11" s="34" t="s">
        <v>936</v>
      </c>
      <c r="B11" s="7" t="s">
        <v>2294</v>
      </c>
      <c r="R11" s="7" t="s">
        <v>2295</v>
      </c>
      <c r="S11" s="7" t="s">
        <v>977</v>
      </c>
      <c r="U11" s="7">
        <v>0</v>
      </c>
      <c r="AF11" s="7" t="s">
        <v>2296</v>
      </c>
      <c r="AG11" s="7" t="s">
        <v>977</v>
      </c>
      <c r="AI11" s="7">
        <v>0</v>
      </c>
      <c r="AJ11" s="8">
        <v>350</v>
      </c>
      <c r="BQ11" s="7" t="s">
        <v>3838</v>
      </c>
      <c r="BR11" s="7" t="s">
        <v>977</v>
      </c>
      <c r="BT11" s="7">
        <v>182</v>
      </c>
      <c r="BU11" s="7" t="s">
        <v>1964</v>
      </c>
      <c r="BW11" s="7" t="s">
        <v>972</v>
      </c>
      <c r="BX11" s="8">
        <v>5163</v>
      </c>
      <c r="DR11" s="7" t="s">
        <v>976</v>
      </c>
    </row>
    <row r="12" spans="1:123" ht="51" x14ac:dyDescent="0.2">
      <c r="A12" s="34" t="s">
        <v>911</v>
      </c>
      <c r="B12" s="7" t="s">
        <v>2179</v>
      </c>
      <c r="M12" s="7" t="s">
        <v>2180</v>
      </c>
      <c r="N12" s="7" t="s">
        <v>977</v>
      </c>
      <c r="P12" s="7">
        <v>0</v>
      </c>
      <c r="R12" s="7" t="s">
        <v>2181</v>
      </c>
      <c r="S12" s="7" t="s">
        <v>977</v>
      </c>
      <c r="U12" s="7">
        <v>0</v>
      </c>
      <c r="AB12" s="7" t="s">
        <v>2182</v>
      </c>
      <c r="AC12" s="7" t="s">
        <v>977</v>
      </c>
      <c r="AE12" s="7">
        <v>0</v>
      </c>
      <c r="DB12" s="7" t="s">
        <v>2183</v>
      </c>
      <c r="DC12" s="7" t="s">
        <v>977</v>
      </c>
      <c r="DE12" s="7">
        <v>0</v>
      </c>
      <c r="DR12" s="7" t="s">
        <v>976</v>
      </c>
    </row>
    <row r="13" spans="1:123" ht="76.5" x14ac:dyDescent="0.2">
      <c r="A13" s="34" t="s">
        <v>928</v>
      </c>
      <c r="B13" s="7" t="s">
        <v>2251</v>
      </c>
      <c r="H13" s="7" t="s">
        <v>2252</v>
      </c>
      <c r="I13" s="7" t="s">
        <v>977</v>
      </c>
      <c r="S13" s="7" t="s">
        <v>977</v>
      </c>
      <c r="CD13" s="7" t="s">
        <v>2671</v>
      </c>
      <c r="CE13" s="7" t="s">
        <v>977</v>
      </c>
      <c r="CH13" s="7" t="s">
        <v>2194</v>
      </c>
      <c r="CL13" s="24">
        <v>10900</v>
      </c>
      <c r="CM13" s="7" t="s">
        <v>2672</v>
      </c>
      <c r="CN13" s="7" t="s">
        <v>977</v>
      </c>
      <c r="CP13" s="7" t="s">
        <v>2253</v>
      </c>
      <c r="CW13" s="7" t="s">
        <v>2673</v>
      </c>
      <c r="CX13" s="7" t="s">
        <v>977</v>
      </c>
      <c r="DA13" s="7">
        <v>205</v>
      </c>
      <c r="DR13" s="7" t="s">
        <v>976</v>
      </c>
    </row>
    <row r="14" spans="1:123" x14ac:dyDescent="0.2">
      <c r="A14" s="34" t="s">
        <v>926</v>
      </c>
      <c r="B14" s="7" t="s">
        <v>2224</v>
      </c>
      <c r="CN14" s="7" t="s">
        <v>977</v>
      </c>
      <c r="CP14" s="7" t="s">
        <v>2249</v>
      </c>
      <c r="DR14" s="7" t="s">
        <v>976</v>
      </c>
    </row>
    <row r="15" spans="1:123" ht="76.5" x14ac:dyDescent="0.2">
      <c r="A15" s="34" t="s">
        <v>948</v>
      </c>
      <c r="B15" s="7" t="s">
        <v>3805</v>
      </c>
      <c r="CD15" s="7" t="s">
        <v>2360</v>
      </c>
      <c r="CE15" s="7" t="s">
        <v>977</v>
      </c>
      <c r="CG15" s="7">
        <v>84</v>
      </c>
      <c r="CH15" s="7" t="s">
        <v>2194</v>
      </c>
      <c r="CM15" s="7" t="s">
        <v>2361</v>
      </c>
      <c r="CN15" s="7" t="s">
        <v>977</v>
      </c>
      <c r="CP15" s="7" t="s">
        <v>2362</v>
      </c>
      <c r="DB15" s="7" t="s">
        <v>2363</v>
      </c>
      <c r="DC15" s="7" t="s">
        <v>977</v>
      </c>
      <c r="DE15" s="7">
        <v>0</v>
      </c>
      <c r="DF15" s="8">
        <v>1680</v>
      </c>
      <c r="DR15" s="7" t="s">
        <v>976</v>
      </c>
    </row>
    <row r="16" spans="1:123" ht="76.5" x14ac:dyDescent="0.2">
      <c r="A16" s="34" t="s">
        <v>932</v>
      </c>
      <c r="B16" s="7" t="s">
        <v>3815</v>
      </c>
      <c r="R16" s="7" t="s">
        <v>2274</v>
      </c>
      <c r="S16" s="7" t="s">
        <v>977</v>
      </c>
      <c r="U16" s="7">
        <v>0</v>
      </c>
      <c r="W16" s="7" t="s">
        <v>2275</v>
      </c>
      <c r="X16" s="7" t="s">
        <v>977</v>
      </c>
      <c r="Z16" s="7">
        <v>0</v>
      </c>
      <c r="AA16" s="8">
        <v>1200</v>
      </c>
      <c r="AB16" s="7" t="s">
        <v>2276</v>
      </c>
      <c r="AC16" s="7" t="s">
        <v>977</v>
      </c>
      <c r="AE16" s="7">
        <v>0</v>
      </c>
      <c r="AF16" s="7" t="s">
        <v>2277</v>
      </c>
      <c r="AI16" s="7">
        <v>0</v>
      </c>
      <c r="AJ16" s="8">
        <v>1200</v>
      </c>
      <c r="AK16" s="7" t="s">
        <v>2278</v>
      </c>
      <c r="AL16" s="7" t="s">
        <v>977</v>
      </c>
      <c r="AN16" s="7">
        <v>0</v>
      </c>
      <c r="AO16" s="7">
        <v>350</v>
      </c>
      <c r="AP16" s="7" t="s">
        <v>2279</v>
      </c>
      <c r="AQ16" s="7" t="s">
        <v>977</v>
      </c>
      <c r="AS16" s="7">
        <v>0</v>
      </c>
      <c r="AT16" s="8">
        <v>1200</v>
      </c>
      <c r="AU16" s="7" t="s">
        <v>2279</v>
      </c>
      <c r="AV16" s="7" t="s">
        <v>977</v>
      </c>
      <c r="AX16" s="7">
        <v>0</v>
      </c>
      <c r="AZ16" s="8">
        <v>1200</v>
      </c>
      <c r="BQ16" s="7" t="s">
        <v>3834</v>
      </c>
      <c r="BR16" s="7" t="s">
        <v>977</v>
      </c>
      <c r="BT16" s="7">
        <v>0</v>
      </c>
      <c r="BU16" s="7" t="s">
        <v>1979</v>
      </c>
      <c r="BW16" s="7" t="s">
        <v>972</v>
      </c>
      <c r="BX16" s="8">
        <v>3500</v>
      </c>
      <c r="CD16" s="7" t="s">
        <v>2280</v>
      </c>
      <c r="CE16" s="7" t="s">
        <v>977</v>
      </c>
      <c r="CG16" s="7">
        <v>0</v>
      </c>
      <c r="CH16" s="7" t="s">
        <v>2194</v>
      </c>
      <c r="DB16" s="7" t="s">
        <v>2281</v>
      </c>
      <c r="DC16" s="7" t="s">
        <v>977</v>
      </c>
      <c r="DE16" s="7">
        <v>0</v>
      </c>
      <c r="DF16" s="8">
        <v>730</v>
      </c>
      <c r="DQ16" s="7" t="s">
        <v>2282</v>
      </c>
      <c r="DR16" s="7" t="s">
        <v>976</v>
      </c>
    </row>
    <row r="17" spans="1:122" ht="191.25" x14ac:dyDescent="0.2">
      <c r="A17" s="34" t="s">
        <v>941</v>
      </c>
      <c r="B17" s="7" t="s">
        <v>2314</v>
      </c>
      <c r="R17" s="7" t="s">
        <v>2315</v>
      </c>
      <c r="S17" s="7" t="s">
        <v>977</v>
      </c>
      <c r="U17" s="7">
        <v>0</v>
      </c>
      <c r="W17" s="7" t="s">
        <v>2316</v>
      </c>
      <c r="X17" s="7" t="s">
        <v>977</v>
      </c>
      <c r="Z17" s="7">
        <v>0</v>
      </c>
      <c r="AF17" s="7" t="s">
        <v>2317</v>
      </c>
      <c r="AG17" s="7" t="s">
        <v>977</v>
      </c>
      <c r="AI17" s="7">
        <v>0</v>
      </c>
      <c r="AJ17" s="8">
        <v>530</v>
      </c>
      <c r="AK17" s="7" t="s">
        <v>2318</v>
      </c>
      <c r="AL17" s="7" t="s">
        <v>977</v>
      </c>
      <c r="AN17" s="7">
        <v>0</v>
      </c>
      <c r="AP17" s="7" t="s">
        <v>2319</v>
      </c>
      <c r="AQ17" s="7" t="s">
        <v>977</v>
      </c>
      <c r="AS17" s="7">
        <v>0</v>
      </c>
      <c r="AT17" s="8">
        <v>2500</v>
      </c>
      <c r="AU17" s="7" t="s">
        <v>3832</v>
      </c>
      <c r="AV17" s="7" t="s">
        <v>977</v>
      </c>
      <c r="AX17" s="7">
        <v>0</v>
      </c>
      <c r="AY17" s="7">
        <v>12</v>
      </c>
      <c r="BA17" s="7" t="s">
        <v>3832</v>
      </c>
      <c r="BB17" s="7" t="s">
        <v>977</v>
      </c>
      <c r="BD17" s="7">
        <v>0</v>
      </c>
      <c r="BE17" s="7">
        <v>12</v>
      </c>
      <c r="BG17" s="7" t="s">
        <v>2320</v>
      </c>
      <c r="BH17" s="7" t="s">
        <v>977</v>
      </c>
      <c r="BJ17" s="7">
        <v>0</v>
      </c>
      <c r="BY17" s="7" t="s">
        <v>2321</v>
      </c>
      <c r="BZ17" s="7" t="s">
        <v>990</v>
      </c>
      <c r="CA17" s="7" t="s">
        <v>1372</v>
      </c>
      <c r="CB17" s="7">
        <v>0</v>
      </c>
      <c r="CC17" s="8">
        <v>24900</v>
      </c>
      <c r="CW17" s="7" t="s">
        <v>2322</v>
      </c>
      <c r="CX17" s="7" t="s">
        <v>977</v>
      </c>
      <c r="CZ17" s="7">
        <v>0</v>
      </c>
      <c r="DA17" s="7">
        <v>55</v>
      </c>
      <c r="DG17" s="7" t="s">
        <v>2323</v>
      </c>
      <c r="DH17" s="7" t="s">
        <v>977</v>
      </c>
      <c r="DK17" s="8">
        <v>1500</v>
      </c>
      <c r="DQ17" s="7" t="s">
        <v>2324</v>
      </c>
      <c r="DR17" s="7" t="s">
        <v>976</v>
      </c>
    </row>
    <row r="18" spans="1:122" x14ac:dyDescent="0.2">
      <c r="A18" s="34" t="s">
        <v>956</v>
      </c>
      <c r="DR18" s="7" t="s">
        <v>976</v>
      </c>
    </row>
    <row r="19" spans="1:122" ht="25.5" x14ac:dyDescent="0.2">
      <c r="A19" s="34" t="s">
        <v>934</v>
      </c>
      <c r="B19" s="7" t="s">
        <v>2283</v>
      </c>
      <c r="R19" s="7" t="s">
        <v>2284</v>
      </c>
      <c r="S19" s="7" t="s">
        <v>977</v>
      </c>
      <c r="U19" s="7">
        <v>0</v>
      </c>
      <c r="AB19" s="7" t="s">
        <v>2285</v>
      </c>
      <c r="AC19" s="7" t="s">
        <v>977</v>
      </c>
      <c r="AE19" s="7">
        <v>0</v>
      </c>
      <c r="BQ19" s="7" t="s">
        <v>2286</v>
      </c>
      <c r="BR19" s="7" t="s">
        <v>977</v>
      </c>
      <c r="BT19" s="7">
        <v>0</v>
      </c>
      <c r="BU19" s="7" t="s">
        <v>1964</v>
      </c>
      <c r="BW19" s="7" t="s">
        <v>976</v>
      </c>
      <c r="BX19" s="8">
        <v>2000</v>
      </c>
      <c r="CN19" s="7" t="s">
        <v>977</v>
      </c>
      <c r="CP19" s="7" t="s">
        <v>2287</v>
      </c>
      <c r="DR19" s="7" t="s">
        <v>976</v>
      </c>
    </row>
    <row r="20" spans="1:122" ht="140.25" x14ac:dyDescent="0.2">
      <c r="A20" s="34" t="s">
        <v>961</v>
      </c>
      <c r="B20" s="7" t="s">
        <v>2414</v>
      </c>
      <c r="BQ20" s="7" t="s">
        <v>2415</v>
      </c>
      <c r="BR20" s="7" t="s">
        <v>977</v>
      </c>
      <c r="BT20" s="7">
        <v>0</v>
      </c>
      <c r="BU20" s="7" t="s">
        <v>1964</v>
      </c>
      <c r="BW20" s="7" t="s">
        <v>972</v>
      </c>
      <c r="BX20" s="8">
        <v>3633.38</v>
      </c>
      <c r="CD20" s="7" t="s">
        <v>2416</v>
      </c>
      <c r="CE20" s="7" t="s">
        <v>977</v>
      </c>
      <c r="CG20" s="7">
        <v>0</v>
      </c>
      <c r="CH20" s="7" t="s">
        <v>2194</v>
      </c>
      <c r="CW20" s="7" t="s">
        <v>2417</v>
      </c>
      <c r="CX20" s="7" t="s">
        <v>977</v>
      </c>
      <c r="CZ20" s="7">
        <v>0</v>
      </c>
      <c r="DA20" s="7">
        <v>300</v>
      </c>
      <c r="DB20" s="7" t="s">
        <v>2418</v>
      </c>
      <c r="DC20" s="7" t="s">
        <v>990</v>
      </c>
      <c r="DD20" s="7" t="s">
        <v>2419</v>
      </c>
      <c r="DE20" s="7">
        <v>0</v>
      </c>
      <c r="DR20" s="7" t="s">
        <v>976</v>
      </c>
    </row>
    <row r="21" spans="1:122" ht="63.75" x14ac:dyDescent="0.2">
      <c r="A21" s="34" t="s">
        <v>939</v>
      </c>
      <c r="B21" s="7" t="s">
        <v>3818</v>
      </c>
      <c r="AF21" s="7" t="s">
        <v>2309</v>
      </c>
      <c r="AG21" s="7" t="s">
        <v>977</v>
      </c>
      <c r="AI21" s="7">
        <v>1</v>
      </c>
      <c r="AJ21" s="8">
        <v>240</v>
      </c>
      <c r="AP21" s="7" t="s">
        <v>2310</v>
      </c>
      <c r="AQ21" s="7" t="s">
        <v>977</v>
      </c>
      <c r="AS21" s="7">
        <v>1</v>
      </c>
      <c r="AT21" s="8">
        <v>2916</v>
      </c>
      <c r="CD21" s="7" t="s">
        <v>2311</v>
      </c>
      <c r="CE21" s="7" t="s">
        <v>977</v>
      </c>
      <c r="CG21" s="7">
        <v>1</v>
      </c>
      <c r="CH21" s="7" t="s">
        <v>2194</v>
      </c>
      <c r="DR21" s="7" t="s">
        <v>976</v>
      </c>
    </row>
    <row r="22" spans="1:122" ht="38.25" x14ac:dyDescent="0.2">
      <c r="A22" s="34" t="s">
        <v>938</v>
      </c>
      <c r="B22" s="7" t="s">
        <v>3803</v>
      </c>
      <c r="AF22" s="7" t="s">
        <v>2303</v>
      </c>
      <c r="AG22" s="7" t="s">
        <v>977</v>
      </c>
      <c r="AI22" s="7">
        <v>0</v>
      </c>
      <c r="AJ22" s="8">
        <v>430</v>
      </c>
      <c r="AP22" s="7" t="s">
        <v>2154</v>
      </c>
      <c r="AQ22" s="7" t="s">
        <v>977</v>
      </c>
      <c r="AS22" s="7">
        <v>0</v>
      </c>
      <c r="AT22" s="8">
        <v>2916</v>
      </c>
      <c r="CD22" s="7" t="s">
        <v>2304</v>
      </c>
      <c r="CE22" s="7" t="s">
        <v>977</v>
      </c>
      <c r="CG22" s="7">
        <v>180</v>
      </c>
      <c r="CH22" s="7" t="s">
        <v>2194</v>
      </c>
      <c r="CL22" s="24">
        <v>18000</v>
      </c>
      <c r="CM22" s="7" t="s">
        <v>2305</v>
      </c>
      <c r="CN22" s="7" t="s">
        <v>977</v>
      </c>
      <c r="CP22" s="7" t="s">
        <v>2306</v>
      </c>
      <c r="CW22" s="7" t="s">
        <v>2307</v>
      </c>
      <c r="CX22" s="7" t="s">
        <v>977</v>
      </c>
      <c r="CZ22" s="7">
        <v>0</v>
      </c>
      <c r="DA22" s="7">
        <v>130</v>
      </c>
      <c r="DQ22" s="7" t="s">
        <v>2308</v>
      </c>
      <c r="DR22" s="7" t="s">
        <v>976</v>
      </c>
    </row>
    <row r="23" spans="1:122" ht="76.5" x14ac:dyDescent="0.2">
      <c r="A23" s="34" t="s">
        <v>947</v>
      </c>
      <c r="B23" s="7" t="s">
        <v>3804</v>
      </c>
      <c r="R23" s="7" t="s">
        <v>2353</v>
      </c>
      <c r="S23" s="7" t="s">
        <v>977</v>
      </c>
      <c r="U23" s="7">
        <v>0</v>
      </c>
      <c r="W23" s="7" t="s">
        <v>2354</v>
      </c>
      <c r="X23" s="7" t="s">
        <v>977</v>
      </c>
      <c r="Z23" s="7">
        <v>0</v>
      </c>
      <c r="AU23" s="7" t="s">
        <v>2355</v>
      </c>
      <c r="AV23" s="7" t="s">
        <v>977</v>
      </c>
      <c r="AX23" s="7">
        <v>0</v>
      </c>
      <c r="AY23" s="7">
        <v>20</v>
      </c>
      <c r="CD23" s="7" t="s">
        <v>2356</v>
      </c>
      <c r="CE23" s="7" t="s">
        <v>977</v>
      </c>
      <c r="CG23" s="7">
        <v>30</v>
      </c>
      <c r="CH23" s="7" t="s">
        <v>2200</v>
      </c>
      <c r="CJ23" s="7" t="s">
        <v>990</v>
      </c>
      <c r="CK23" s="7" t="s">
        <v>1965</v>
      </c>
      <c r="CR23" s="7" t="s">
        <v>2357</v>
      </c>
      <c r="CS23" s="7" t="s">
        <v>977</v>
      </c>
      <c r="CU23" s="7">
        <v>0</v>
      </c>
      <c r="CV23" s="24">
        <v>363</v>
      </c>
      <c r="CW23" s="7" t="s">
        <v>2358</v>
      </c>
      <c r="CX23" s="7" t="s">
        <v>977</v>
      </c>
      <c r="CZ23" s="7">
        <v>0</v>
      </c>
      <c r="DA23" s="7">
        <v>35</v>
      </c>
      <c r="DB23" s="7" t="s">
        <v>2359</v>
      </c>
      <c r="DC23" s="7" t="s">
        <v>977</v>
      </c>
      <c r="DE23" s="7">
        <v>0</v>
      </c>
      <c r="DF23" s="8">
        <v>363</v>
      </c>
      <c r="DQ23" s="7" t="s">
        <v>3850</v>
      </c>
      <c r="DR23" s="7" t="s">
        <v>976</v>
      </c>
    </row>
    <row r="24" spans="1:122" ht="191.25" x14ac:dyDescent="0.2">
      <c r="A24" s="34" t="s">
        <v>937</v>
      </c>
      <c r="B24" s="7" t="s">
        <v>2297</v>
      </c>
      <c r="H24" s="7" t="s">
        <v>3829</v>
      </c>
      <c r="I24" s="7" t="s">
        <v>990</v>
      </c>
      <c r="J24" s="7" t="s">
        <v>2298</v>
      </c>
      <c r="K24" s="7">
        <v>365</v>
      </c>
      <c r="AB24" s="7" t="s">
        <v>3830</v>
      </c>
      <c r="AC24" s="7" t="s">
        <v>977</v>
      </c>
      <c r="AE24" s="7">
        <v>0</v>
      </c>
      <c r="CD24" s="7" t="s">
        <v>2299</v>
      </c>
      <c r="CE24" s="7" t="s">
        <v>977</v>
      </c>
      <c r="CG24" s="7">
        <v>0</v>
      </c>
      <c r="CH24" s="7" t="s">
        <v>2200</v>
      </c>
      <c r="CM24" s="7" t="s">
        <v>2300</v>
      </c>
      <c r="CN24" s="7" t="s">
        <v>977</v>
      </c>
      <c r="CP24" s="7" t="s">
        <v>2301</v>
      </c>
      <c r="DB24" s="7" t="s">
        <v>2302</v>
      </c>
      <c r="DC24" s="7" t="s">
        <v>977</v>
      </c>
      <c r="DE24" s="7">
        <v>0</v>
      </c>
    </row>
    <row r="25" spans="1:122" ht="51" x14ac:dyDescent="0.2">
      <c r="A25" s="34" t="s">
        <v>949</v>
      </c>
      <c r="B25" s="7" t="s">
        <v>3811</v>
      </c>
      <c r="H25" s="7" t="s">
        <v>2364</v>
      </c>
      <c r="I25" s="7" t="s">
        <v>977</v>
      </c>
      <c r="K25" s="7">
        <v>0</v>
      </c>
      <c r="L25" s="8">
        <v>20000</v>
      </c>
      <c r="R25" s="7" t="s">
        <v>2365</v>
      </c>
      <c r="S25" s="7" t="s">
        <v>977</v>
      </c>
      <c r="U25" s="7">
        <v>0</v>
      </c>
      <c r="AK25" s="7" t="s">
        <v>971</v>
      </c>
      <c r="AL25" s="7" t="s">
        <v>990</v>
      </c>
      <c r="AM25" s="7" t="s">
        <v>970</v>
      </c>
      <c r="AN25" s="7">
        <v>0</v>
      </c>
      <c r="AU25" s="7" t="s">
        <v>1959</v>
      </c>
      <c r="AV25" s="7" t="s">
        <v>977</v>
      </c>
      <c r="AX25" s="7">
        <v>0</v>
      </c>
      <c r="AY25" s="7">
        <v>10</v>
      </c>
      <c r="AZ25" s="8">
        <v>800</v>
      </c>
      <c r="BQ25" s="7" t="s">
        <v>971</v>
      </c>
      <c r="BR25" s="7" t="s">
        <v>990</v>
      </c>
      <c r="BS25" s="7" t="s">
        <v>970</v>
      </c>
      <c r="BT25" s="7">
        <v>0</v>
      </c>
      <c r="BU25" s="7" t="s">
        <v>2366</v>
      </c>
      <c r="BW25" s="7" t="s">
        <v>976</v>
      </c>
      <c r="CD25" s="7" t="s">
        <v>2367</v>
      </c>
      <c r="CE25" s="7" t="s">
        <v>977</v>
      </c>
      <c r="CG25" s="7">
        <v>0</v>
      </c>
      <c r="CH25" s="7" t="s">
        <v>2194</v>
      </c>
      <c r="CR25" s="7" t="s">
        <v>971</v>
      </c>
      <c r="CS25" s="7" t="s">
        <v>990</v>
      </c>
      <c r="CT25" s="7" t="s">
        <v>970</v>
      </c>
      <c r="CU25" s="7">
        <v>0</v>
      </c>
      <c r="DB25" s="7" t="s">
        <v>2368</v>
      </c>
      <c r="DC25" s="7" t="s">
        <v>977</v>
      </c>
      <c r="DE25" s="7">
        <v>0</v>
      </c>
      <c r="DQ25" s="7" t="s">
        <v>970</v>
      </c>
      <c r="DR25" s="7" t="s">
        <v>976</v>
      </c>
    </row>
    <row r="26" spans="1:122" ht="63.75" x14ac:dyDescent="0.2">
      <c r="A26" s="34" t="s">
        <v>963</v>
      </c>
      <c r="B26" s="7" t="s">
        <v>2424</v>
      </c>
      <c r="BQ26" s="7" t="s">
        <v>2425</v>
      </c>
      <c r="BR26" s="7" t="s">
        <v>977</v>
      </c>
      <c r="BT26" s="7">
        <v>1</v>
      </c>
      <c r="BU26" s="7" t="s">
        <v>1979</v>
      </c>
      <c r="BW26" s="7" t="s">
        <v>972</v>
      </c>
      <c r="BX26" s="8">
        <v>7500</v>
      </c>
      <c r="CM26" s="7" t="s">
        <v>2426</v>
      </c>
      <c r="CN26" s="7" t="s">
        <v>977</v>
      </c>
      <c r="CP26" s="7" t="s">
        <v>2427</v>
      </c>
      <c r="DB26" s="7" t="s">
        <v>2428</v>
      </c>
      <c r="DC26" s="7" t="s">
        <v>990</v>
      </c>
      <c r="DD26" s="7" t="s">
        <v>2429</v>
      </c>
      <c r="DE26" s="7">
        <v>0</v>
      </c>
      <c r="DF26" s="8">
        <v>550</v>
      </c>
      <c r="DL26" s="7" t="s">
        <v>2430</v>
      </c>
      <c r="DM26" s="7" t="s">
        <v>977</v>
      </c>
      <c r="DO26" s="7">
        <v>0</v>
      </c>
      <c r="DP26" s="7">
        <v>800</v>
      </c>
      <c r="DR26" s="7" t="s">
        <v>976</v>
      </c>
    </row>
    <row r="27" spans="1:122" ht="25.5" x14ac:dyDescent="0.2">
      <c r="A27" s="34" t="s">
        <v>913</v>
      </c>
      <c r="B27" s="7" t="s">
        <v>2192</v>
      </c>
      <c r="CD27" s="7" t="s">
        <v>2193</v>
      </c>
      <c r="CE27" s="7" t="s">
        <v>977</v>
      </c>
      <c r="CG27" s="7">
        <v>180</v>
      </c>
      <c r="CH27" s="7" t="s">
        <v>2194</v>
      </c>
      <c r="DR27" s="7" t="s">
        <v>976</v>
      </c>
    </row>
    <row r="28" spans="1:122" ht="38.25" x14ac:dyDescent="0.2">
      <c r="A28" s="34" t="s">
        <v>931</v>
      </c>
      <c r="B28" s="7" t="s">
        <v>3821</v>
      </c>
      <c r="M28" s="7" t="s">
        <v>2267</v>
      </c>
      <c r="N28" s="7" t="s">
        <v>977</v>
      </c>
      <c r="P28" s="7">
        <v>0</v>
      </c>
      <c r="R28" s="7" t="s">
        <v>2268</v>
      </c>
      <c r="S28" s="7" t="s">
        <v>977</v>
      </c>
      <c r="U28" s="7">
        <v>0</v>
      </c>
      <c r="AF28" s="7" t="s">
        <v>2269</v>
      </c>
      <c r="AG28" s="7" t="s">
        <v>977</v>
      </c>
      <c r="AI28" s="7">
        <v>90</v>
      </c>
      <c r="AJ28" s="8">
        <v>500</v>
      </c>
      <c r="BQ28" s="7" t="s">
        <v>2270</v>
      </c>
      <c r="BR28" s="7" t="s">
        <v>977</v>
      </c>
      <c r="BT28" s="7">
        <v>0</v>
      </c>
      <c r="BU28" s="7" t="s">
        <v>1979</v>
      </c>
      <c r="BW28" s="7" t="s">
        <v>972</v>
      </c>
      <c r="BX28" s="8">
        <v>7000</v>
      </c>
      <c r="CD28" s="7" t="s">
        <v>2271</v>
      </c>
      <c r="CE28" s="7" t="s">
        <v>977</v>
      </c>
      <c r="CG28" s="7">
        <v>180</v>
      </c>
      <c r="CH28" s="7" t="s">
        <v>2200</v>
      </c>
      <c r="CJ28" s="7" t="s">
        <v>990</v>
      </c>
      <c r="CK28" s="7" t="s">
        <v>1965</v>
      </c>
      <c r="CM28" s="7" t="s">
        <v>2272</v>
      </c>
      <c r="CN28" s="7" t="s">
        <v>977</v>
      </c>
      <c r="CP28" s="7" t="s">
        <v>2273</v>
      </c>
      <c r="DR28" s="7" t="s">
        <v>976</v>
      </c>
    </row>
    <row r="29" spans="1:122" x14ac:dyDescent="0.2">
      <c r="A29" s="34" t="s">
        <v>966</v>
      </c>
      <c r="B29" s="7" t="s">
        <v>2382</v>
      </c>
      <c r="DR29" s="7" t="s">
        <v>976</v>
      </c>
    </row>
    <row r="30" spans="1:122" ht="25.5" x14ac:dyDescent="0.2">
      <c r="A30" s="34" t="s">
        <v>917</v>
      </c>
      <c r="B30" s="7" t="s">
        <v>2207</v>
      </c>
      <c r="R30" s="7" t="s">
        <v>2208</v>
      </c>
      <c r="S30" s="7" t="s">
        <v>977</v>
      </c>
      <c r="U30" s="7">
        <v>0</v>
      </c>
      <c r="V30" s="7">
        <v>520</v>
      </c>
      <c r="CD30" s="7" t="s">
        <v>2209</v>
      </c>
      <c r="CG30" s="7">
        <v>0</v>
      </c>
      <c r="CH30" s="7" t="s">
        <v>2194</v>
      </c>
      <c r="CL30" s="24">
        <v>5000</v>
      </c>
      <c r="CM30" s="7" t="s">
        <v>2210</v>
      </c>
      <c r="CN30" s="7" t="s">
        <v>977</v>
      </c>
      <c r="CP30" s="7" t="s">
        <v>2210</v>
      </c>
      <c r="DR30" s="7" t="s">
        <v>976</v>
      </c>
    </row>
    <row r="31" spans="1:122" ht="76.5" x14ac:dyDescent="0.2">
      <c r="A31" s="34" t="s">
        <v>923</v>
      </c>
      <c r="B31" s="7" t="s">
        <v>3822</v>
      </c>
      <c r="H31" s="7" t="s">
        <v>2233</v>
      </c>
      <c r="I31" s="7" t="s">
        <v>977</v>
      </c>
      <c r="K31" s="7">
        <v>181</v>
      </c>
      <c r="W31" s="7" t="s">
        <v>2234</v>
      </c>
      <c r="X31" s="7" t="s">
        <v>977</v>
      </c>
      <c r="Z31" s="7">
        <v>0</v>
      </c>
      <c r="AF31" s="7" t="s">
        <v>2235</v>
      </c>
      <c r="AG31" s="7" t="s">
        <v>977</v>
      </c>
      <c r="AI31" s="7">
        <v>0</v>
      </c>
      <c r="AJ31" s="8">
        <v>1200</v>
      </c>
      <c r="AP31" s="7" t="s">
        <v>2236</v>
      </c>
      <c r="AQ31" s="7" t="s">
        <v>977</v>
      </c>
      <c r="AS31" s="7">
        <v>0</v>
      </c>
      <c r="AT31" s="8">
        <v>4300</v>
      </c>
      <c r="AU31" s="7" t="s">
        <v>2237</v>
      </c>
      <c r="AV31" s="7" t="s">
        <v>977</v>
      </c>
      <c r="AX31" s="7">
        <v>0</v>
      </c>
      <c r="AY31" s="7">
        <v>60</v>
      </c>
      <c r="AZ31" s="8">
        <v>4300</v>
      </c>
      <c r="CD31" s="7" t="s">
        <v>2238</v>
      </c>
      <c r="CE31" s="7" t="s">
        <v>977</v>
      </c>
      <c r="CG31" s="7">
        <v>0</v>
      </c>
      <c r="CH31" s="7" t="s">
        <v>2194</v>
      </c>
      <c r="CM31" s="7" t="s">
        <v>2239</v>
      </c>
      <c r="CN31" s="7" t="s">
        <v>977</v>
      </c>
      <c r="CP31" s="7" t="s">
        <v>2240</v>
      </c>
      <c r="CQ31" s="8">
        <v>250</v>
      </c>
      <c r="DB31" s="7" t="s">
        <v>2241</v>
      </c>
      <c r="DC31" s="7" t="s">
        <v>977</v>
      </c>
      <c r="DE31" s="7">
        <v>0</v>
      </c>
      <c r="DF31" s="8">
        <v>250</v>
      </c>
      <c r="DR31" s="7" t="s">
        <v>976</v>
      </c>
    </row>
    <row r="32" spans="1:122" ht="51" x14ac:dyDescent="0.2">
      <c r="A32" s="34" t="s">
        <v>935</v>
      </c>
      <c r="B32" s="7" t="s">
        <v>3827</v>
      </c>
      <c r="R32" s="7" t="s">
        <v>2288</v>
      </c>
      <c r="S32" s="7" t="s">
        <v>977</v>
      </c>
      <c r="U32" s="7">
        <v>0</v>
      </c>
      <c r="W32" s="7" t="s">
        <v>2289</v>
      </c>
      <c r="X32" s="7" t="s">
        <v>977</v>
      </c>
      <c r="Z32" s="7">
        <v>0</v>
      </c>
      <c r="AK32" s="7" t="s">
        <v>2290</v>
      </c>
      <c r="AL32" s="7" t="s">
        <v>977</v>
      </c>
      <c r="AN32" s="7">
        <v>0</v>
      </c>
      <c r="CD32" s="7" t="s">
        <v>2291</v>
      </c>
      <c r="CE32" s="7" t="s">
        <v>977</v>
      </c>
      <c r="CG32" s="7">
        <v>0</v>
      </c>
      <c r="CH32" s="7" t="s">
        <v>2200</v>
      </c>
      <c r="CJ32" s="7" t="s">
        <v>990</v>
      </c>
      <c r="CK32" s="7" t="s">
        <v>1965</v>
      </c>
      <c r="CM32" s="7" t="s">
        <v>2292</v>
      </c>
      <c r="CN32" s="7" t="s">
        <v>977</v>
      </c>
      <c r="CP32" s="7" t="s">
        <v>2293</v>
      </c>
      <c r="DR32" s="7" t="s">
        <v>976</v>
      </c>
    </row>
    <row r="33" spans="1:123" ht="38.25" x14ac:dyDescent="0.2">
      <c r="A33" s="34" t="s">
        <v>915</v>
      </c>
      <c r="B33" s="7" t="s">
        <v>3810</v>
      </c>
      <c r="AF33" s="7" t="s">
        <v>2196</v>
      </c>
      <c r="AG33" s="7" t="s">
        <v>977</v>
      </c>
      <c r="AI33" s="7">
        <v>1</v>
      </c>
      <c r="AJ33" s="8">
        <v>435</v>
      </c>
      <c r="BA33" s="7" t="s">
        <v>2197</v>
      </c>
      <c r="BB33" s="7" t="s">
        <v>977</v>
      </c>
      <c r="BD33" s="7">
        <v>1</v>
      </c>
      <c r="BE33" s="7">
        <v>0</v>
      </c>
      <c r="BF33" s="7">
        <v>0</v>
      </c>
      <c r="BQ33" s="7" t="s">
        <v>2198</v>
      </c>
      <c r="BR33" s="7" t="s">
        <v>977</v>
      </c>
      <c r="BT33" s="7">
        <v>180</v>
      </c>
      <c r="BU33" s="7" t="s">
        <v>1979</v>
      </c>
      <c r="BW33" s="7" t="s">
        <v>972</v>
      </c>
      <c r="BX33" s="8">
        <v>3600</v>
      </c>
      <c r="CD33" s="7" t="s">
        <v>2199</v>
      </c>
      <c r="CE33" s="7" t="s">
        <v>977</v>
      </c>
      <c r="CG33" s="7">
        <v>1</v>
      </c>
      <c r="CH33" s="7" t="s">
        <v>2200</v>
      </c>
      <c r="CJ33" s="7" t="s">
        <v>2201</v>
      </c>
      <c r="CR33" s="7" t="s">
        <v>2202</v>
      </c>
      <c r="CS33" s="7" t="s">
        <v>977</v>
      </c>
      <c r="CU33" s="7">
        <v>1</v>
      </c>
      <c r="CV33" s="24">
        <v>2100</v>
      </c>
      <c r="DB33" s="7" t="s">
        <v>2203</v>
      </c>
      <c r="DC33" s="7" t="s">
        <v>977</v>
      </c>
      <c r="DE33" s="7">
        <v>1</v>
      </c>
      <c r="DF33" s="8">
        <v>400</v>
      </c>
      <c r="DQ33" s="7" t="s">
        <v>2204</v>
      </c>
      <c r="DR33" s="7" t="s">
        <v>976</v>
      </c>
    </row>
    <row r="34" spans="1:123" ht="51" x14ac:dyDescent="0.2">
      <c r="A34" s="34" t="s">
        <v>945</v>
      </c>
      <c r="B34" s="7" t="s">
        <v>3826</v>
      </c>
      <c r="R34" s="7" t="s">
        <v>2340</v>
      </c>
      <c r="S34" s="7" t="s">
        <v>977</v>
      </c>
      <c r="U34" s="7">
        <v>0</v>
      </c>
      <c r="AB34" s="7" t="s">
        <v>2341</v>
      </c>
      <c r="AC34" s="7" t="s">
        <v>977</v>
      </c>
      <c r="AE34" s="7">
        <v>0</v>
      </c>
      <c r="AF34" s="7" t="s">
        <v>2342</v>
      </c>
      <c r="AG34" s="7" t="s">
        <v>977</v>
      </c>
      <c r="AI34" s="7">
        <v>0</v>
      </c>
      <c r="AK34" s="7" t="s">
        <v>2343</v>
      </c>
      <c r="AL34" s="7" t="s">
        <v>977</v>
      </c>
      <c r="AN34" s="7">
        <v>0</v>
      </c>
      <c r="AO34" s="7">
        <v>900</v>
      </c>
      <c r="AU34" s="7" t="s">
        <v>2344</v>
      </c>
      <c r="AV34" s="7" t="s">
        <v>977</v>
      </c>
      <c r="AX34" s="7">
        <v>0</v>
      </c>
      <c r="AY34" s="7">
        <v>10</v>
      </c>
      <c r="BA34" s="7" t="s">
        <v>2345</v>
      </c>
      <c r="BB34" s="7" t="s">
        <v>977</v>
      </c>
      <c r="BD34" s="7">
        <v>0</v>
      </c>
      <c r="BE34" s="7">
        <v>10</v>
      </c>
      <c r="BQ34" s="7" t="s">
        <v>2346</v>
      </c>
      <c r="BR34" s="7" t="s">
        <v>977</v>
      </c>
      <c r="BT34" s="7">
        <v>0</v>
      </c>
      <c r="BU34" s="7" t="s">
        <v>1979</v>
      </c>
      <c r="BW34" s="7" t="s">
        <v>972</v>
      </c>
      <c r="BX34" s="8">
        <v>4300</v>
      </c>
      <c r="CD34" s="7" t="s">
        <v>2347</v>
      </c>
      <c r="CE34" s="7" t="s">
        <v>977</v>
      </c>
      <c r="CG34" s="7">
        <v>0</v>
      </c>
      <c r="CH34" s="7" t="s">
        <v>2194</v>
      </c>
      <c r="CM34" s="7" t="s">
        <v>2348</v>
      </c>
      <c r="CN34" s="7" t="s">
        <v>977</v>
      </c>
      <c r="CP34" s="7" t="s">
        <v>2349</v>
      </c>
      <c r="CQ34" s="8">
        <v>1500</v>
      </c>
      <c r="DQ34" s="7" t="s">
        <v>2350</v>
      </c>
      <c r="DR34" s="7" t="s">
        <v>976</v>
      </c>
    </row>
    <row r="35" spans="1:123" ht="89.25" x14ac:dyDescent="0.2">
      <c r="A35" s="34" t="s">
        <v>924</v>
      </c>
      <c r="B35" s="7" t="s">
        <v>2242</v>
      </c>
      <c r="AU35" s="7" t="s">
        <v>2243</v>
      </c>
      <c r="AV35" s="7" t="s">
        <v>977</v>
      </c>
      <c r="AX35" s="7">
        <v>0</v>
      </c>
      <c r="AY35" s="7">
        <v>10</v>
      </c>
      <c r="CR35" s="7" t="s">
        <v>2244</v>
      </c>
      <c r="CS35" s="7" t="s">
        <v>977</v>
      </c>
      <c r="CU35" s="7">
        <v>0</v>
      </c>
      <c r="CV35" s="24">
        <v>75</v>
      </c>
      <c r="CW35" s="7" t="s">
        <v>2245</v>
      </c>
      <c r="CX35" s="7" t="s">
        <v>977</v>
      </c>
      <c r="CZ35" s="7">
        <v>0</v>
      </c>
      <c r="DA35" s="7">
        <v>75</v>
      </c>
      <c r="DB35" s="7" t="s">
        <v>2246</v>
      </c>
      <c r="DC35" s="7" t="s">
        <v>977</v>
      </c>
      <c r="DE35" s="7">
        <v>0</v>
      </c>
      <c r="DL35" s="7" t="s">
        <v>3849</v>
      </c>
      <c r="DM35" s="7" t="s">
        <v>977</v>
      </c>
      <c r="DO35" s="7">
        <v>0</v>
      </c>
      <c r="DR35" s="7" t="s">
        <v>976</v>
      </c>
    </row>
    <row r="36" spans="1:123" ht="25.5" x14ac:dyDescent="0.2">
      <c r="A36" s="34" t="s">
        <v>925</v>
      </c>
      <c r="B36" s="7" t="s">
        <v>2224</v>
      </c>
      <c r="CM36" s="7" t="s">
        <v>2247</v>
      </c>
      <c r="CN36" s="7" t="s">
        <v>977</v>
      </c>
      <c r="CP36" s="7" t="s">
        <v>2248</v>
      </c>
    </row>
    <row r="37" spans="1:123" ht="76.5" x14ac:dyDescent="0.2">
      <c r="A37" s="34" t="s">
        <v>3376</v>
      </c>
      <c r="B37" s="10" t="s">
        <v>3807</v>
      </c>
      <c r="C37" s="10"/>
      <c r="D37" s="10"/>
      <c r="E37" s="10"/>
      <c r="F37" s="10"/>
      <c r="G37" s="10"/>
      <c r="H37" s="10"/>
      <c r="I37" s="10"/>
      <c r="J37" s="10"/>
      <c r="K37" s="10"/>
      <c r="L37" s="11"/>
      <c r="M37" s="10"/>
      <c r="N37" s="10"/>
      <c r="O37" s="10"/>
      <c r="P37" s="10"/>
      <c r="Q37" s="11"/>
      <c r="R37" s="10"/>
      <c r="S37" s="10"/>
      <c r="T37" s="10"/>
      <c r="U37" s="10"/>
      <c r="V37" s="10"/>
      <c r="W37" s="10"/>
      <c r="X37" s="10"/>
      <c r="Y37" s="10"/>
      <c r="Z37" s="10"/>
      <c r="AA37" s="11"/>
      <c r="AB37" s="10"/>
      <c r="AC37" s="10"/>
      <c r="AD37" s="10"/>
      <c r="AE37" s="10"/>
      <c r="AF37" s="10" t="s">
        <v>3395</v>
      </c>
      <c r="AG37" s="10" t="s">
        <v>977</v>
      </c>
      <c r="AH37" s="10"/>
      <c r="AI37" s="10">
        <v>0</v>
      </c>
      <c r="AJ37" s="11">
        <v>414</v>
      </c>
      <c r="AK37" s="10"/>
      <c r="AL37" s="10"/>
      <c r="AM37" s="10"/>
      <c r="AN37" s="10"/>
      <c r="AO37" s="10"/>
      <c r="AP37" s="10"/>
      <c r="AQ37" s="10"/>
      <c r="AR37" s="10"/>
      <c r="AS37" s="10"/>
      <c r="AT37" s="11"/>
      <c r="AU37" s="10"/>
      <c r="AV37" s="10"/>
      <c r="AW37" s="10"/>
      <c r="AX37" s="10"/>
      <c r="AY37" s="10"/>
      <c r="AZ37" s="11"/>
      <c r="BA37" s="10"/>
      <c r="BB37" s="10"/>
      <c r="BC37" s="10"/>
      <c r="BD37" s="10"/>
      <c r="BE37" s="10"/>
      <c r="BF37" s="10"/>
      <c r="BG37" s="10"/>
      <c r="BH37" s="10"/>
      <c r="BI37" s="10"/>
      <c r="BJ37" s="10"/>
      <c r="BK37" s="10"/>
      <c r="BL37" s="10"/>
      <c r="BM37" s="10"/>
      <c r="BN37" s="10"/>
      <c r="BO37" s="10"/>
      <c r="BP37" s="10"/>
      <c r="BQ37" s="10" t="s">
        <v>3396</v>
      </c>
      <c r="BR37" s="10" t="s">
        <v>977</v>
      </c>
      <c r="BS37" s="10"/>
      <c r="BT37" s="10">
        <v>0</v>
      </c>
      <c r="BU37" s="10" t="s">
        <v>3397</v>
      </c>
      <c r="BV37" s="10" t="s">
        <v>3398</v>
      </c>
      <c r="BW37" s="10" t="s">
        <v>972</v>
      </c>
      <c r="BX37" s="11">
        <v>4355</v>
      </c>
      <c r="BY37" s="10"/>
      <c r="BZ37" s="10"/>
      <c r="CA37" s="10"/>
      <c r="CB37" s="10"/>
      <c r="CC37" s="11"/>
      <c r="CD37" s="10" t="s">
        <v>3399</v>
      </c>
      <c r="CE37" s="10" t="s">
        <v>990</v>
      </c>
      <c r="CF37" s="10" t="s">
        <v>3400</v>
      </c>
      <c r="CG37" s="10">
        <v>90</v>
      </c>
      <c r="CH37" s="10" t="s">
        <v>2194</v>
      </c>
      <c r="CI37" s="10"/>
      <c r="CJ37" s="10"/>
      <c r="CK37" s="10"/>
      <c r="CL37" s="26">
        <v>21250</v>
      </c>
      <c r="CM37" s="10"/>
      <c r="CN37" s="10"/>
      <c r="CO37" s="10"/>
      <c r="CP37" s="10"/>
      <c r="CQ37" s="11"/>
      <c r="CR37" s="10"/>
      <c r="CS37" s="10"/>
      <c r="CT37" s="10"/>
      <c r="CU37" s="10"/>
      <c r="CV37" s="26"/>
      <c r="CW37" s="10"/>
      <c r="CX37" s="10"/>
      <c r="CY37" s="10"/>
      <c r="CZ37" s="10"/>
      <c r="DA37" s="10"/>
      <c r="DB37" s="10" t="s">
        <v>3401</v>
      </c>
      <c r="DC37" s="10" t="s">
        <v>990</v>
      </c>
      <c r="DD37" s="10" t="s">
        <v>3402</v>
      </c>
      <c r="DE37" s="10">
        <v>0</v>
      </c>
      <c r="DF37" s="11">
        <v>365</v>
      </c>
      <c r="DG37" s="10"/>
      <c r="DH37" s="10"/>
      <c r="DI37" s="10"/>
      <c r="DJ37" s="10"/>
      <c r="DK37" s="11"/>
      <c r="DL37" s="10"/>
      <c r="DM37" s="10"/>
      <c r="DN37" s="10"/>
      <c r="DO37" s="10"/>
      <c r="DP37" s="10"/>
      <c r="DQ37" s="10"/>
      <c r="DR37" s="10"/>
      <c r="DS37" s="10"/>
    </row>
    <row r="38" spans="1:123" x14ac:dyDescent="0.2">
      <c r="A38" s="34" t="s">
        <v>952</v>
      </c>
      <c r="B38" s="7" t="s">
        <v>2382</v>
      </c>
      <c r="DR38" s="7" t="s">
        <v>976</v>
      </c>
    </row>
    <row r="39" spans="1:123" ht="25.5" x14ac:dyDescent="0.2">
      <c r="A39" s="34" t="s">
        <v>921</v>
      </c>
      <c r="B39" s="7" t="s">
        <v>2224</v>
      </c>
      <c r="CM39" s="7" t="s">
        <v>2225</v>
      </c>
      <c r="CN39" s="7" t="s">
        <v>977</v>
      </c>
      <c r="CP39" s="7" t="s">
        <v>2226</v>
      </c>
      <c r="CQ39" s="8">
        <v>38</v>
      </c>
      <c r="DR39" s="7" t="s">
        <v>976</v>
      </c>
    </row>
    <row r="40" spans="1:123" ht="38.25" x14ac:dyDescent="0.2">
      <c r="A40" s="34" t="s">
        <v>958</v>
      </c>
      <c r="B40" s="7" t="s">
        <v>3814</v>
      </c>
      <c r="CD40" s="7" t="s">
        <v>2404</v>
      </c>
      <c r="CE40" s="7" t="s">
        <v>977</v>
      </c>
      <c r="CG40" s="7">
        <v>365</v>
      </c>
      <c r="CH40" s="7" t="s">
        <v>2200</v>
      </c>
      <c r="CJ40" s="7" t="s">
        <v>990</v>
      </c>
      <c r="CK40" s="7">
        <v>2</v>
      </c>
      <c r="CM40" s="7" t="s">
        <v>2405</v>
      </c>
      <c r="CN40" s="7" t="s">
        <v>977</v>
      </c>
      <c r="CP40" s="7" t="s">
        <v>2406</v>
      </c>
      <c r="DB40" s="7" t="s">
        <v>2407</v>
      </c>
      <c r="DC40" s="7" t="s">
        <v>977</v>
      </c>
      <c r="DE40" s="7">
        <v>90</v>
      </c>
      <c r="DH40" s="7" t="s">
        <v>977</v>
      </c>
      <c r="DJ40" s="7">
        <v>365</v>
      </c>
      <c r="DQ40" s="7" t="s">
        <v>3851</v>
      </c>
      <c r="DR40" s="7" t="s">
        <v>976</v>
      </c>
    </row>
    <row r="41" spans="1:123" ht="114.75" x14ac:dyDescent="0.2">
      <c r="A41" s="34" t="s">
        <v>962</v>
      </c>
      <c r="B41" s="7" t="s">
        <v>3816</v>
      </c>
      <c r="BQ41" s="7" t="s">
        <v>3835</v>
      </c>
      <c r="BR41" s="7" t="s">
        <v>3751</v>
      </c>
      <c r="BT41" s="7">
        <v>0</v>
      </c>
      <c r="BU41" s="7" t="s">
        <v>2420</v>
      </c>
      <c r="BV41" s="7" t="s">
        <v>2421</v>
      </c>
      <c r="BW41" s="7" t="s">
        <v>972</v>
      </c>
      <c r="BX41" s="8">
        <v>5000</v>
      </c>
      <c r="CM41" s="7" t="s">
        <v>2422</v>
      </c>
      <c r="CN41" s="7" t="s">
        <v>3751</v>
      </c>
      <c r="CR41" s="7" t="s">
        <v>2423</v>
      </c>
      <c r="CS41" s="7" t="s">
        <v>3751</v>
      </c>
      <c r="CU41" s="7">
        <v>0</v>
      </c>
      <c r="CV41" s="24">
        <v>68.989999999999995</v>
      </c>
      <c r="CW41" s="7" t="s">
        <v>3839</v>
      </c>
      <c r="CX41" s="7" t="s">
        <v>3751</v>
      </c>
      <c r="DA41" s="7">
        <v>77.62</v>
      </c>
      <c r="DQ41" s="7" t="s">
        <v>3840</v>
      </c>
      <c r="DR41" s="7" t="s">
        <v>976</v>
      </c>
    </row>
    <row r="42" spans="1:123" ht="51" x14ac:dyDescent="0.2">
      <c r="A42" s="34" t="s">
        <v>957</v>
      </c>
      <c r="B42" s="7" t="s">
        <v>3812</v>
      </c>
      <c r="H42" s="7" t="s">
        <v>2395</v>
      </c>
      <c r="I42" s="7" t="s">
        <v>977</v>
      </c>
      <c r="K42" s="7">
        <v>0</v>
      </c>
      <c r="R42" s="7" t="s">
        <v>2396</v>
      </c>
      <c r="S42" s="7" t="s">
        <v>977</v>
      </c>
      <c r="U42" s="7">
        <v>0</v>
      </c>
      <c r="W42" s="7">
        <v>0</v>
      </c>
      <c r="X42" s="7" t="s">
        <v>990</v>
      </c>
      <c r="Z42" s="7">
        <v>0</v>
      </c>
      <c r="AB42" s="7" t="s">
        <v>2397</v>
      </c>
      <c r="AC42" s="7" t="s">
        <v>977</v>
      </c>
      <c r="AE42" s="7">
        <v>0</v>
      </c>
      <c r="AU42" s="7" t="s">
        <v>2398</v>
      </c>
      <c r="AV42" s="7" t="s">
        <v>977</v>
      </c>
      <c r="AX42" s="7">
        <v>0</v>
      </c>
      <c r="AY42" s="7">
        <v>20</v>
      </c>
      <c r="AZ42" s="8">
        <v>70</v>
      </c>
      <c r="CN42" s="7" t="s">
        <v>977</v>
      </c>
      <c r="CP42" s="7" t="s">
        <v>2399</v>
      </c>
      <c r="CW42" s="7" t="s">
        <v>2400</v>
      </c>
      <c r="CX42" s="7" t="s">
        <v>977</v>
      </c>
      <c r="CZ42" s="7">
        <v>0</v>
      </c>
      <c r="DA42" s="7">
        <v>600</v>
      </c>
      <c r="DB42" s="7" t="s">
        <v>2401</v>
      </c>
      <c r="DC42" s="7" t="s">
        <v>977</v>
      </c>
      <c r="DE42" s="7">
        <v>0</v>
      </c>
      <c r="DG42" s="7" t="s">
        <v>2402</v>
      </c>
      <c r="DH42" s="7" t="s">
        <v>990</v>
      </c>
      <c r="DI42" s="7" t="s">
        <v>2403</v>
      </c>
      <c r="DJ42" s="7">
        <v>0</v>
      </c>
      <c r="DR42" s="7" t="s">
        <v>976</v>
      </c>
    </row>
    <row r="43" spans="1:123" ht="38.25" x14ac:dyDescent="0.2">
      <c r="A43" s="34" t="s">
        <v>918</v>
      </c>
      <c r="B43" s="7" t="s">
        <v>2211</v>
      </c>
      <c r="H43" s="7" t="s">
        <v>2212</v>
      </c>
      <c r="I43" s="7" t="s">
        <v>977</v>
      </c>
      <c r="K43" s="7">
        <v>0</v>
      </c>
      <c r="AF43" s="7" t="s">
        <v>2213</v>
      </c>
      <c r="AG43" s="7" t="s">
        <v>977</v>
      </c>
      <c r="AI43" s="7">
        <v>0</v>
      </c>
      <c r="AJ43" s="8">
        <v>150</v>
      </c>
      <c r="AP43" s="7" t="s">
        <v>2214</v>
      </c>
      <c r="AQ43" s="7" t="s">
        <v>977</v>
      </c>
      <c r="AS43" s="7">
        <v>0</v>
      </c>
      <c r="CD43" s="7" t="s">
        <v>2215</v>
      </c>
      <c r="CE43" s="7" t="s">
        <v>977</v>
      </c>
      <c r="CG43" s="7">
        <v>0</v>
      </c>
      <c r="CH43" s="7" t="s">
        <v>2194</v>
      </c>
      <c r="DG43" s="7" t="s">
        <v>2216</v>
      </c>
      <c r="DH43" s="7" t="s">
        <v>977</v>
      </c>
      <c r="DJ43" s="7">
        <v>0</v>
      </c>
      <c r="DK43" s="8">
        <v>600</v>
      </c>
      <c r="DQ43" s="7" t="s">
        <v>1025</v>
      </c>
      <c r="DR43" s="7" t="s">
        <v>976</v>
      </c>
    </row>
    <row r="44" spans="1:123" ht="140.25" x14ac:dyDescent="0.2">
      <c r="A44" s="34" t="s">
        <v>965</v>
      </c>
      <c r="B44" s="7" t="s">
        <v>2438</v>
      </c>
      <c r="DL44" s="7" t="s">
        <v>2439</v>
      </c>
      <c r="DM44" s="7" t="s">
        <v>977</v>
      </c>
      <c r="DO44" s="7">
        <v>0</v>
      </c>
      <c r="DP44" s="7">
        <v>729.35</v>
      </c>
      <c r="DQ44" s="7" t="s">
        <v>3852</v>
      </c>
      <c r="DR44" s="7" t="s">
        <v>976</v>
      </c>
    </row>
    <row r="45" spans="1:123" ht="89.25" x14ac:dyDescent="0.2">
      <c r="A45" s="34" t="s">
        <v>942</v>
      </c>
      <c r="B45" s="7" t="s">
        <v>3825</v>
      </c>
      <c r="R45" s="7" t="s">
        <v>2325</v>
      </c>
      <c r="S45" s="7" t="s">
        <v>977</v>
      </c>
      <c r="U45" s="7">
        <v>0</v>
      </c>
      <c r="W45" s="7" t="s">
        <v>2326</v>
      </c>
      <c r="X45" s="7" t="s">
        <v>977</v>
      </c>
      <c r="Z45" s="7">
        <v>0</v>
      </c>
      <c r="AF45" s="7" t="s">
        <v>2327</v>
      </c>
      <c r="AG45" s="7" t="s">
        <v>977</v>
      </c>
      <c r="AI45" s="7">
        <v>0</v>
      </c>
      <c r="AJ45" s="8">
        <v>720</v>
      </c>
      <c r="BQ45" s="7" t="s">
        <v>3837</v>
      </c>
      <c r="BR45" s="7" t="s">
        <v>977</v>
      </c>
      <c r="BT45" s="7">
        <v>0</v>
      </c>
      <c r="BU45" s="7" t="s">
        <v>1979</v>
      </c>
      <c r="BW45" s="7" t="s">
        <v>976</v>
      </c>
      <c r="BX45" s="8">
        <v>740</v>
      </c>
      <c r="CD45" s="7" t="s">
        <v>3847</v>
      </c>
      <c r="CE45" s="7" t="s">
        <v>977</v>
      </c>
      <c r="CG45" s="7">
        <v>0</v>
      </c>
      <c r="CH45" s="7" t="s">
        <v>2194</v>
      </c>
      <c r="CW45" s="7" t="s">
        <v>3843</v>
      </c>
      <c r="CX45" s="7" t="s">
        <v>977</v>
      </c>
      <c r="CZ45" s="7">
        <v>0</v>
      </c>
      <c r="DA45" s="7">
        <v>480</v>
      </c>
      <c r="DB45" s="7" t="s">
        <v>2328</v>
      </c>
      <c r="DC45" s="7" t="s">
        <v>977</v>
      </c>
      <c r="DE45" s="7">
        <v>0</v>
      </c>
      <c r="DF45" s="8">
        <v>820</v>
      </c>
      <c r="DG45" s="7" t="s">
        <v>2329</v>
      </c>
      <c r="DH45" s="7" t="s">
        <v>977</v>
      </c>
      <c r="DJ45" s="7">
        <v>0</v>
      </c>
      <c r="DR45" s="7" t="s">
        <v>976</v>
      </c>
    </row>
    <row r="46" spans="1:123" ht="51" x14ac:dyDescent="0.2">
      <c r="A46" s="34" t="s">
        <v>955</v>
      </c>
      <c r="B46" s="7" t="s">
        <v>2388</v>
      </c>
      <c r="M46" s="7" t="s">
        <v>2389</v>
      </c>
      <c r="N46" s="7" t="s">
        <v>977</v>
      </c>
      <c r="P46" s="7">
        <v>0</v>
      </c>
      <c r="R46" s="7" t="s">
        <v>2390</v>
      </c>
      <c r="S46" s="7" t="s">
        <v>977</v>
      </c>
      <c r="U46" s="7">
        <v>0</v>
      </c>
      <c r="W46" s="7" t="s">
        <v>2391</v>
      </c>
      <c r="X46" s="7" t="s">
        <v>977</v>
      </c>
      <c r="Z46" s="7">
        <v>0</v>
      </c>
      <c r="CD46" s="7" t="s">
        <v>2392</v>
      </c>
      <c r="CE46" s="7" t="s">
        <v>977</v>
      </c>
      <c r="CG46" s="7">
        <v>0</v>
      </c>
      <c r="CH46" s="7" t="s">
        <v>2393</v>
      </c>
      <c r="CJ46" s="7" t="s">
        <v>990</v>
      </c>
      <c r="CK46" s="7" t="s">
        <v>1965</v>
      </c>
      <c r="DB46" s="7" t="s">
        <v>2394</v>
      </c>
      <c r="DC46" s="7" t="s">
        <v>977</v>
      </c>
      <c r="DE46" s="7">
        <v>0</v>
      </c>
      <c r="DF46" s="8">
        <v>1825</v>
      </c>
      <c r="DR46" s="7" t="s">
        <v>976</v>
      </c>
    </row>
    <row r="47" spans="1:123" ht="127.5" x14ac:dyDescent="0.2">
      <c r="A47" s="37" t="s">
        <v>967</v>
      </c>
      <c r="B47" s="10" t="s">
        <v>2440</v>
      </c>
      <c r="C47" s="10"/>
      <c r="D47" s="10"/>
      <c r="E47" s="10"/>
      <c r="F47" s="10"/>
      <c r="G47" s="10"/>
      <c r="H47" s="10"/>
      <c r="I47" s="10"/>
      <c r="J47" s="10"/>
      <c r="K47" s="10"/>
      <c r="L47" s="11"/>
      <c r="M47" s="10"/>
      <c r="N47" s="10"/>
      <c r="O47" s="10"/>
      <c r="P47" s="10"/>
      <c r="Q47" s="11"/>
      <c r="R47" s="10" t="s">
        <v>2441</v>
      </c>
      <c r="S47" s="10" t="s">
        <v>977</v>
      </c>
      <c r="T47" s="10"/>
      <c r="U47" s="10">
        <v>0</v>
      </c>
      <c r="V47" s="10"/>
      <c r="W47" s="10"/>
      <c r="X47" s="10"/>
      <c r="Y47" s="10"/>
      <c r="Z47" s="10"/>
      <c r="AA47" s="11"/>
      <c r="AB47" s="10" t="s">
        <v>2442</v>
      </c>
      <c r="AC47" s="10" t="s">
        <v>977</v>
      </c>
      <c r="AD47" s="10"/>
      <c r="AE47" s="10">
        <v>0</v>
      </c>
      <c r="AF47" s="10" t="s">
        <v>2443</v>
      </c>
      <c r="AG47" s="10" t="s">
        <v>977</v>
      </c>
      <c r="AH47" s="10"/>
      <c r="AI47" s="10">
        <v>0</v>
      </c>
      <c r="AJ47" s="11">
        <v>372</v>
      </c>
      <c r="AK47" s="10"/>
      <c r="AL47" s="10"/>
      <c r="AM47" s="10"/>
      <c r="AN47" s="10"/>
      <c r="AO47" s="10"/>
      <c r="AP47" s="10"/>
      <c r="AQ47" s="10"/>
      <c r="AR47" s="10"/>
      <c r="AS47" s="10"/>
      <c r="AT47" s="11"/>
      <c r="AU47" s="10"/>
      <c r="AV47" s="10"/>
      <c r="AW47" s="10"/>
      <c r="AX47" s="10"/>
      <c r="AY47" s="10"/>
      <c r="AZ47" s="11"/>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1"/>
      <c r="BY47" s="10"/>
      <c r="BZ47" s="10"/>
      <c r="CA47" s="10"/>
      <c r="CB47" s="10"/>
      <c r="CC47" s="11"/>
      <c r="CD47" s="10" t="s">
        <v>3845</v>
      </c>
      <c r="CE47" s="10" t="s">
        <v>977</v>
      </c>
      <c r="CF47" s="10"/>
      <c r="CG47" s="10">
        <v>0</v>
      </c>
      <c r="CH47" s="10" t="s">
        <v>2194</v>
      </c>
      <c r="CI47" s="10"/>
      <c r="CJ47" s="10"/>
      <c r="CK47" s="10"/>
      <c r="CL47" s="26"/>
      <c r="CM47" s="10"/>
      <c r="CN47" s="10"/>
      <c r="CO47" s="10"/>
      <c r="CP47" s="10"/>
      <c r="CQ47" s="11"/>
      <c r="CR47" s="10"/>
      <c r="CS47" s="10"/>
      <c r="CT47" s="10"/>
      <c r="CU47" s="10"/>
      <c r="CV47" s="26"/>
      <c r="CW47" s="10"/>
      <c r="CX47" s="10"/>
      <c r="CY47" s="10"/>
      <c r="CZ47" s="10"/>
      <c r="DA47" s="10"/>
      <c r="DB47" s="10" t="s">
        <v>2444</v>
      </c>
      <c r="DC47" s="10" t="s">
        <v>990</v>
      </c>
      <c r="DD47" s="10" t="s">
        <v>2445</v>
      </c>
      <c r="DE47" s="10">
        <v>0</v>
      </c>
      <c r="DF47" s="11">
        <v>1000</v>
      </c>
      <c r="DG47" s="10" t="s">
        <v>2446</v>
      </c>
      <c r="DH47" s="10" t="s">
        <v>977</v>
      </c>
      <c r="DI47" s="10"/>
      <c r="DJ47" s="10">
        <v>0</v>
      </c>
      <c r="DK47" s="11">
        <v>61</v>
      </c>
      <c r="DL47" s="10"/>
      <c r="DM47" s="10"/>
      <c r="DN47" s="10"/>
      <c r="DO47" s="10"/>
      <c r="DP47" s="10"/>
      <c r="DQ47" s="10"/>
      <c r="DR47" s="10"/>
      <c r="DS47" s="10"/>
    </row>
    <row r="48" spans="1:123" ht="89.25" x14ac:dyDescent="0.2">
      <c r="A48" s="34" t="s">
        <v>964</v>
      </c>
      <c r="B48" s="7" t="s">
        <v>3819</v>
      </c>
      <c r="C48" s="7" t="s">
        <v>2431</v>
      </c>
      <c r="D48" s="7" t="s">
        <v>990</v>
      </c>
      <c r="E48" s="7" t="s">
        <v>3774</v>
      </c>
      <c r="F48" s="7">
        <v>0</v>
      </c>
      <c r="I48" s="7" t="s">
        <v>977</v>
      </c>
      <c r="K48" s="7">
        <v>0</v>
      </c>
      <c r="M48" s="7" t="s">
        <v>2432</v>
      </c>
      <c r="N48" s="7" t="s">
        <v>977</v>
      </c>
      <c r="P48" s="7">
        <v>0</v>
      </c>
      <c r="R48" s="7" t="s">
        <v>2433</v>
      </c>
      <c r="S48" s="7" t="s">
        <v>977</v>
      </c>
      <c r="U48" s="7">
        <v>0</v>
      </c>
      <c r="AP48" s="7" t="s">
        <v>3831</v>
      </c>
      <c r="AQ48" s="7" t="s">
        <v>990</v>
      </c>
      <c r="AR48" s="7" t="s">
        <v>3775</v>
      </c>
      <c r="AS48" s="7">
        <v>0</v>
      </c>
      <c r="AU48" s="7" t="s">
        <v>2434</v>
      </c>
      <c r="AV48" s="7" t="s">
        <v>990</v>
      </c>
      <c r="AW48" s="7" t="s">
        <v>3776</v>
      </c>
      <c r="AX48" s="7">
        <v>0</v>
      </c>
      <c r="BA48" s="7" t="s">
        <v>2435</v>
      </c>
      <c r="BB48" s="7" t="s">
        <v>990</v>
      </c>
      <c r="BC48" s="7" t="s">
        <v>3777</v>
      </c>
      <c r="BD48" s="7">
        <v>0</v>
      </c>
      <c r="CD48" s="7" t="s">
        <v>2436</v>
      </c>
      <c r="CG48" s="7">
        <v>0</v>
      </c>
      <c r="CH48" s="7" t="s">
        <v>2194</v>
      </c>
      <c r="DB48" s="7" t="s">
        <v>2437</v>
      </c>
      <c r="DC48" s="7" t="s">
        <v>990</v>
      </c>
      <c r="DD48" s="7" t="s">
        <v>3778</v>
      </c>
      <c r="DE48" s="7">
        <v>0</v>
      </c>
      <c r="DR48" s="7" t="s">
        <v>976</v>
      </c>
    </row>
    <row r="49" spans="1:123" ht="38.25" x14ac:dyDescent="0.2">
      <c r="A49" s="34" t="s">
        <v>951</v>
      </c>
      <c r="B49" s="7" t="s">
        <v>3824</v>
      </c>
      <c r="AF49" s="7" t="s">
        <v>2377</v>
      </c>
      <c r="AG49" s="7" t="s">
        <v>977</v>
      </c>
      <c r="AI49" s="7">
        <v>0</v>
      </c>
      <c r="AJ49" s="8">
        <v>420</v>
      </c>
      <c r="CD49" s="7" t="s">
        <v>2378</v>
      </c>
      <c r="CE49" s="7" t="s">
        <v>977</v>
      </c>
      <c r="CG49" s="7">
        <v>0</v>
      </c>
      <c r="CH49" s="7" t="s">
        <v>2200</v>
      </c>
      <c r="CJ49" s="7" t="s">
        <v>990</v>
      </c>
      <c r="CK49" s="7" t="s">
        <v>2379</v>
      </c>
      <c r="CM49" s="7" t="s">
        <v>2380</v>
      </c>
      <c r="CN49" s="7" t="s">
        <v>977</v>
      </c>
      <c r="CP49" s="7" t="s">
        <v>2381</v>
      </c>
    </row>
    <row r="50" spans="1:123" ht="25.5" x14ac:dyDescent="0.2">
      <c r="A50" s="34" t="s">
        <v>954</v>
      </c>
      <c r="B50" s="7" t="s">
        <v>2387</v>
      </c>
      <c r="AC50" s="7" t="s">
        <v>977</v>
      </c>
      <c r="AE50" s="7">
        <v>0</v>
      </c>
      <c r="BQ50" s="7" t="s">
        <v>3833</v>
      </c>
      <c r="BR50" s="7" t="s">
        <v>977</v>
      </c>
      <c r="BT50" s="7">
        <v>0</v>
      </c>
      <c r="BU50" s="7" t="s">
        <v>2042</v>
      </c>
      <c r="BW50" s="7" t="s">
        <v>972</v>
      </c>
      <c r="DR50" s="7" t="s">
        <v>976</v>
      </c>
    </row>
    <row r="51" spans="1:123" ht="51" x14ac:dyDescent="0.2">
      <c r="A51" s="34" t="s">
        <v>944</v>
      </c>
      <c r="B51" s="7" t="s">
        <v>2333</v>
      </c>
      <c r="AF51" s="7" t="s">
        <v>2334</v>
      </c>
      <c r="AG51" s="7" t="s">
        <v>977</v>
      </c>
      <c r="AI51" s="7">
        <v>0</v>
      </c>
      <c r="AJ51" s="8">
        <v>373</v>
      </c>
      <c r="AK51" s="7" t="s">
        <v>2335</v>
      </c>
      <c r="AL51" s="7" t="s">
        <v>977</v>
      </c>
      <c r="AN51" s="7">
        <v>0</v>
      </c>
      <c r="BQ51" s="7" t="s">
        <v>2336</v>
      </c>
      <c r="BR51" s="7" t="s">
        <v>977</v>
      </c>
      <c r="BT51" s="7">
        <v>0</v>
      </c>
      <c r="BU51" s="7" t="s">
        <v>2042</v>
      </c>
      <c r="BW51" s="7" t="s">
        <v>972</v>
      </c>
      <c r="BX51" s="8">
        <v>11169</v>
      </c>
      <c r="CM51" s="7" t="s">
        <v>2337</v>
      </c>
      <c r="CN51" s="7" t="s">
        <v>977</v>
      </c>
      <c r="CP51" s="7" t="s">
        <v>2338</v>
      </c>
      <c r="CR51" s="7" t="s">
        <v>2339</v>
      </c>
      <c r="CS51" s="7" t="s">
        <v>977</v>
      </c>
      <c r="CU51" s="7">
        <v>0</v>
      </c>
    </row>
    <row r="52" spans="1:123" ht="255" x14ac:dyDescent="0.2">
      <c r="A52" s="34" t="s">
        <v>950</v>
      </c>
      <c r="B52" s="7" t="s">
        <v>3823</v>
      </c>
      <c r="H52" s="7" t="s">
        <v>2369</v>
      </c>
      <c r="I52" s="7" t="s">
        <v>977</v>
      </c>
      <c r="K52" s="7">
        <v>0</v>
      </c>
      <c r="W52" s="7" t="s">
        <v>2370</v>
      </c>
      <c r="X52" s="7" t="s">
        <v>977</v>
      </c>
      <c r="Z52" s="7">
        <v>0</v>
      </c>
      <c r="BQ52" s="7" t="s">
        <v>3836</v>
      </c>
      <c r="BR52" s="7" t="s">
        <v>977</v>
      </c>
      <c r="BT52" s="7">
        <v>0</v>
      </c>
      <c r="BU52" s="7" t="s">
        <v>1979</v>
      </c>
      <c r="BW52" s="7" t="s">
        <v>972</v>
      </c>
      <c r="BX52" s="8">
        <v>2000</v>
      </c>
      <c r="CD52" s="7" t="s">
        <v>3841</v>
      </c>
      <c r="CE52" s="7" t="s">
        <v>990</v>
      </c>
      <c r="CF52" s="7" t="s">
        <v>2371</v>
      </c>
      <c r="CG52" s="7">
        <v>0</v>
      </c>
      <c r="CH52" s="7" t="s">
        <v>2372</v>
      </c>
      <c r="CI52" s="7" t="s">
        <v>2373</v>
      </c>
      <c r="CR52" s="7" t="s">
        <v>2374</v>
      </c>
      <c r="CS52" s="7" t="s">
        <v>977</v>
      </c>
      <c r="CU52" s="7">
        <v>0</v>
      </c>
      <c r="CV52" s="24">
        <v>475</v>
      </c>
      <c r="DB52" s="7" t="s">
        <v>2375</v>
      </c>
      <c r="DC52" s="7" t="s">
        <v>990</v>
      </c>
      <c r="DD52" s="7" t="s">
        <v>2376</v>
      </c>
      <c r="DE52" s="7">
        <v>0</v>
      </c>
      <c r="DF52" s="8">
        <v>220</v>
      </c>
      <c r="DL52" s="7" t="s">
        <v>1692</v>
      </c>
      <c r="DM52" s="7" t="s">
        <v>977</v>
      </c>
      <c r="DO52" s="7">
        <v>0</v>
      </c>
      <c r="DQ52" s="7" t="s">
        <v>3842</v>
      </c>
      <c r="DR52" s="7" t="s">
        <v>976</v>
      </c>
    </row>
    <row r="53" spans="1:123" ht="63.75" x14ac:dyDescent="0.2">
      <c r="A53" s="34" t="s">
        <v>940</v>
      </c>
      <c r="B53" s="7" t="s">
        <v>3813</v>
      </c>
      <c r="AV53" s="7" t="s">
        <v>977</v>
      </c>
      <c r="AX53" s="7">
        <v>0</v>
      </c>
      <c r="AY53" s="7">
        <v>20</v>
      </c>
      <c r="BB53" s="7" t="s">
        <v>977</v>
      </c>
      <c r="BD53" s="7">
        <v>0</v>
      </c>
      <c r="BE53" s="7">
        <v>20</v>
      </c>
      <c r="BF53" s="7">
        <v>0</v>
      </c>
      <c r="BQ53" s="7" t="s">
        <v>2312</v>
      </c>
      <c r="BR53" s="7" t="s">
        <v>977</v>
      </c>
      <c r="BU53" s="7" t="s">
        <v>1979</v>
      </c>
      <c r="BW53" s="7" t="s">
        <v>972</v>
      </c>
      <c r="BX53" s="8">
        <v>2500</v>
      </c>
      <c r="CE53" s="7" t="s">
        <v>977</v>
      </c>
      <c r="CG53" s="7">
        <v>365</v>
      </c>
      <c r="CH53" s="7" t="s">
        <v>2200</v>
      </c>
      <c r="CJ53" s="7" t="s">
        <v>2201</v>
      </c>
      <c r="CM53" s="7" t="s">
        <v>3848</v>
      </c>
      <c r="CN53" s="7" t="s">
        <v>977</v>
      </c>
      <c r="CP53" s="7" t="s">
        <v>2273</v>
      </c>
      <c r="CQ53" s="8">
        <v>1500</v>
      </c>
      <c r="DC53" s="7" t="s">
        <v>977</v>
      </c>
      <c r="DE53" s="7">
        <v>0</v>
      </c>
      <c r="DQ53" s="7" t="s">
        <v>2313</v>
      </c>
      <c r="DR53" s="7" t="s">
        <v>972</v>
      </c>
    </row>
    <row r="54" spans="1:123" ht="51" x14ac:dyDescent="0.2">
      <c r="A54" s="34" t="s">
        <v>960</v>
      </c>
      <c r="B54" s="7" t="s">
        <v>3817</v>
      </c>
      <c r="I54" s="7" t="s">
        <v>977</v>
      </c>
      <c r="S54" s="7" t="s">
        <v>977</v>
      </c>
      <c r="AC54" s="7" t="s">
        <v>977</v>
      </c>
      <c r="AG54" s="7" t="s">
        <v>977</v>
      </c>
      <c r="AL54" s="7" t="s">
        <v>977</v>
      </c>
      <c r="AQ54" s="7" t="s">
        <v>977</v>
      </c>
      <c r="BR54" s="7" t="s">
        <v>977</v>
      </c>
      <c r="BU54" s="7" t="s">
        <v>1979</v>
      </c>
      <c r="BW54" s="7" t="s">
        <v>976</v>
      </c>
      <c r="CE54" s="7" t="s">
        <v>977</v>
      </c>
      <c r="CH54" s="7" t="s">
        <v>2194</v>
      </c>
      <c r="CN54" s="7" t="s">
        <v>977</v>
      </c>
      <c r="CP54" s="7" t="s">
        <v>2413</v>
      </c>
      <c r="DR54" s="7" t="s">
        <v>976</v>
      </c>
    </row>
    <row r="55" spans="1:123" ht="25.5" x14ac:dyDescent="0.2">
      <c r="A55" s="34" t="s">
        <v>916</v>
      </c>
      <c r="B55" s="7" t="s">
        <v>2205</v>
      </c>
      <c r="BQ55" s="7" t="s">
        <v>2206</v>
      </c>
      <c r="BR55" s="7" t="s">
        <v>977</v>
      </c>
      <c r="BT55" s="7">
        <v>180</v>
      </c>
      <c r="BU55" s="7" t="s">
        <v>1979</v>
      </c>
      <c r="BW55" s="7" t="s">
        <v>972</v>
      </c>
      <c r="BX55" s="8">
        <v>1750</v>
      </c>
      <c r="DR55" s="7" t="s">
        <v>976</v>
      </c>
    </row>
    <row r="56" spans="1:123" ht="25.5" x14ac:dyDescent="0.2">
      <c r="A56" s="34" t="s">
        <v>946</v>
      </c>
      <c r="B56" s="7" t="s">
        <v>2351</v>
      </c>
      <c r="H56" s="7" t="s">
        <v>2352</v>
      </c>
      <c r="I56" s="7" t="s">
        <v>977</v>
      </c>
      <c r="K56" s="7">
        <v>0</v>
      </c>
      <c r="CJ56" s="7" t="s">
        <v>2201</v>
      </c>
      <c r="DR56" s="7" t="s">
        <v>976</v>
      </c>
    </row>
    <row r="57" spans="1:123" ht="89.25" x14ac:dyDescent="0.2">
      <c r="A57" s="34" t="s">
        <v>919</v>
      </c>
      <c r="B57" s="7" t="s">
        <v>2217</v>
      </c>
      <c r="M57" s="7" t="s">
        <v>3828</v>
      </c>
      <c r="N57" s="7" t="s">
        <v>977</v>
      </c>
      <c r="CD57" s="7" t="s">
        <v>3846</v>
      </c>
      <c r="CE57" s="7" t="s">
        <v>977</v>
      </c>
      <c r="CG57" s="7">
        <v>0</v>
      </c>
      <c r="CH57" s="7" t="s">
        <v>2194</v>
      </c>
      <c r="CM57" s="7" t="s">
        <v>2218</v>
      </c>
      <c r="CN57" s="7" t="s">
        <v>977</v>
      </c>
      <c r="CP57" s="7" t="s">
        <v>2219</v>
      </c>
      <c r="DR57" s="7" t="s">
        <v>976</v>
      </c>
    </row>
    <row r="58" spans="1:123" ht="76.5" x14ac:dyDescent="0.2">
      <c r="A58" s="34" t="s">
        <v>929</v>
      </c>
      <c r="B58" s="7" t="s">
        <v>3806</v>
      </c>
      <c r="H58" s="7" t="s">
        <v>2254</v>
      </c>
      <c r="I58" s="7" t="s">
        <v>977</v>
      </c>
      <c r="K58" s="7">
        <v>0</v>
      </c>
      <c r="AF58" s="7" t="s">
        <v>2255</v>
      </c>
      <c r="AG58" s="7" t="s">
        <v>977</v>
      </c>
      <c r="AI58" s="7">
        <v>0</v>
      </c>
      <c r="AJ58" s="8">
        <v>300</v>
      </c>
      <c r="AK58" s="7" t="s">
        <v>2256</v>
      </c>
      <c r="AL58" s="7" t="s">
        <v>977</v>
      </c>
      <c r="AN58" s="7">
        <v>0</v>
      </c>
      <c r="AO58" s="7">
        <v>944</v>
      </c>
      <c r="BQ58" s="7" t="s">
        <v>2257</v>
      </c>
      <c r="BR58" s="7" t="s">
        <v>977</v>
      </c>
      <c r="BT58" s="7">
        <v>0</v>
      </c>
      <c r="BU58" s="7" t="s">
        <v>1964</v>
      </c>
      <c r="BW58" s="7" t="s">
        <v>972</v>
      </c>
      <c r="CD58" s="7" t="s">
        <v>3844</v>
      </c>
      <c r="CE58" s="7" t="s">
        <v>977</v>
      </c>
      <c r="CH58" s="7" t="s">
        <v>2194</v>
      </c>
      <c r="CL58" s="24">
        <v>4700</v>
      </c>
      <c r="CM58" s="7" t="s">
        <v>2258</v>
      </c>
      <c r="CN58" s="7" t="s">
        <v>977</v>
      </c>
      <c r="CP58" s="7" t="s">
        <v>2259</v>
      </c>
      <c r="CQ58" s="8">
        <v>800</v>
      </c>
      <c r="DR58" s="7" t="s">
        <v>976</v>
      </c>
    </row>
    <row r="59" spans="1:123" s="37" customFormat="1" ht="38.25" x14ac:dyDescent="0.2">
      <c r="A59" s="34" t="s">
        <v>943</v>
      </c>
      <c r="B59" s="7" t="s">
        <v>2224</v>
      </c>
      <c r="C59" s="7"/>
      <c r="D59" s="7"/>
      <c r="E59" s="7"/>
      <c r="F59" s="7"/>
      <c r="G59" s="7"/>
      <c r="H59" s="7"/>
      <c r="I59" s="7"/>
      <c r="J59" s="7"/>
      <c r="K59" s="7"/>
      <c r="L59" s="8"/>
      <c r="M59" s="7"/>
      <c r="N59" s="7"/>
      <c r="O59" s="7"/>
      <c r="P59" s="7"/>
      <c r="Q59" s="8"/>
      <c r="R59" s="7"/>
      <c r="S59" s="7"/>
      <c r="T59" s="7"/>
      <c r="U59" s="7"/>
      <c r="V59" s="7"/>
      <c r="W59" s="7"/>
      <c r="X59" s="7"/>
      <c r="Y59" s="7"/>
      <c r="Z59" s="7"/>
      <c r="AA59" s="8"/>
      <c r="AB59" s="7"/>
      <c r="AC59" s="7"/>
      <c r="AD59" s="7"/>
      <c r="AE59" s="7"/>
      <c r="AF59" s="7"/>
      <c r="AG59" s="7"/>
      <c r="AH59" s="7"/>
      <c r="AI59" s="7"/>
      <c r="AJ59" s="8"/>
      <c r="AK59" s="7"/>
      <c r="AL59" s="7"/>
      <c r="AM59" s="7"/>
      <c r="AN59" s="7"/>
      <c r="AO59" s="7"/>
      <c r="AP59" s="7"/>
      <c r="AQ59" s="7"/>
      <c r="AR59" s="7"/>
      <c r="AS59" s="7"/>
      <c r="AT59" s="8"/>
      <c r="AU59" s="7"/>
      <c r="AV59" s="7"/>
      <c r="AW59" s="7"/>
      <c r="AX59" s="7"/>
      <c r="AY59" s="7"/>
      <c r="AZ59" s="8"/>
      <c r="BA59" s="7"/>
      <c r="BB59" s="7"/>
      <c r="BC59" s="7"/>
      <c r="BD59" s="7"/>
      <c r="BE59" s="7"/>
      <c r="BF59" s="7"/>
      <c r="BG59" s="7"/>
      <c r="BH59" s="7"/>
      <c r="BI59" s="7"/>
      <c r="BJ59" s="7"/>
      <c r="BK59" s="7"/>
      <c r="BL59" s="7"/>
      <c r="BM59" s="7"/>
      <c r="BN59" s="7"/>
      <c r="BO59" s="7"/>
      <c r="BP59" s="7"/>
      <c r="BQ59" s="7"/>
      <c r="BR59" s="7"/>
      <c r="BS59" s="7"/>
      <c r="BT59" s="7"/>
      <c r="BU59" s="7"/>
      <c r="BV59" s="7"/>
      <c r="BW59" s="7"/>
      <c r="BX59" s="8"/>
      <c r="BY59" s="7"/>
      <c r="BZ59" s="7"/>
      <c r="CA59" s="7"/>
      <c r="CB59" s="7"/>
      <c r="CC59" s="8"/>
      <c r="CD59" s="7"/>
      <c r="CE59" s="7"/>
      <c r="CF59" s="7"/>
      <c r="CG59" s="7"/>
      <c r="CH59" s="7"/>
      <c r="CI59" s="7"/>
      <c r="CJ59" s="7" t="s">
        <v>2330</v>
      </c>
      <c r="CK59" s="7"/>
      <c r="CL59" s="24"/>
      <c r="CM59" s="7" t="s">
        <v>2331</v>
      </c>
      <c r="CN59" s="7" t="s">
        <v>977</v>
      </c>
      <c r="CO59" s="7"/>
      <c r="CP59" s="7" t="s">
        <v>2332</v>
      </c>
      <c r="CQ59" s="8">
        <v>400</v>
      </c>
      <c r="CR59" s="7"/>
      <c r="CS59" s="7"/>
      <c r="CT59" s="7"/>
      <c r="CU59" s="7"/>
      <c r="CV59" s="24"/>
      <c r="CW59" s="7"/>
      <c r="CX59" s="7"/>
      <c r="CY59" s="7"/>
      <c r="CZ59" s="7"/>
      <c r="DA59" s="7"/>
      <c r="DB59" s="7"/>
      <c r="DC59" s="7"/>
      <c r="DD59" s="7"/>
      <c r="DE59" s="7"/>
      <c r="DF59" s="8"/>
      <c r="DG59" s="7"/>
      <c r="DH59" s="7"/>
      <c r="DI59" s="7"/>
      <c r="DJ59" s="7"/>
      <c r="DK59" s="8"/>
      <c r="DL59" s="7"/>
      <c r="DM59" s="7"/>
      <c r="DN59" s="7"/>
      <c r="DO59" s="7"/>
      <c r="DP59" s="7"/>
      <c r="DQ59" s="7"/>
      <c r="DR59" s="7" t="s">
        <v>976</v>
      </c>
      <c r="DS59" s="7"/>
    </row>
    <row r="60" spans="1:123" s="37" customFormat="1" ht="63.75" x14ac:dyDescent="0.2">
      <c r="A60" s="34" t="s">
        <v>953</v>
      </c>
      <c r="B60" s="7" t="s">
        <v>3809</v>
      </c>
      <c r="C60" s="7"/>
      <c r="D60" s="7"/>
      <c r="E60" s="7"/>
      <c r="F60" s="7"/>
      <c r="G60" s="7"/>
      <c r="H60" s="7"/>
      <c r="I60" s="7"/>
      <c r="J60" s="7"/>
      <c r="K60" s="7"/>
      <c r="L60" s="8"/>
      <c r="M60" s="7"/>
      <c r="N60" s="7"/>
      <c r="O60" s="7"/>
      <c r="P60" s="7"/>
      <c r="Q60" s="8"/>
      <c r="R60" s="7"/>
      <c r="S60" s="7"/>
      <c r="T60" s="7"/>
      <c r="U60" s="7"/>
      <c r="V60" s="7"/>
      <c r="W60" s="7"/>
      <c r="X60" s="7"/>
      <c r="Y60" s="7"/>
      <c r="Z60" s="7"/>
      <c r="AA60" s="8"/>
      <c r="AB60" s="7"/>
      <c r="AC60" s="7"/>
      <c r="AD60" s="7"/>
      <c r="AE60" s="7"/>
      <c r="AF60" s="7"/>
      <c r="AG60" s="7"/>
      <c r="AH60" s="7"/>
      <c r="AI60" s="7"/>
      <c r="AJ60" s="8"/>
      <c r="AK60" s="7"/>
      <c r="AL60" s="7"/>
      <c r="AM60" s="7"/>
      <c r="AN60" s="7"/>
      <c r="AO60" s="7"/>
      <c r="AP60" s="7"/>
      <c r="AQ60" s="7"/>
      <c r="AR60" s="7"/>
      <c r="AS60" s="7"/>
      <c r="AT60" s="8"/>
      <c r="AU60" s="7"/>
      <c r="AV60" s="7"/>
      <c r="AW60" s="7"/>
      <c r="AX60" s="7"/>
      <c r="AY60" s="7"/>
      <c r="AZ60" s="8"/>
      <c r="BA60" s="7"/>
      <c r="BB60" s="7"/>
      <c r="BC60" s="7"/>
      <c r="BD60" s="7"/>
      <c r="BE60" s="7"/>
      <c r="BF60" s="7"/>
      <c r="BG60" s="7"/>
      <c r="BH60" s="7"/>
      <c r="BI60" s="7"/>
      <c r="BJ60" s="7"/>
      <c r="BK60" s="7"/>
      <c r="BL60" s="7"/>
      <c r="BM60" s="7"/>
      <c r="BN60" s="7"/>
      <c r="BO60" s="7"/>
      <c r="BP60" s="7"/>
      <c r="BQ60" s="7"/>
      <c r="BR60" s="7"/>
      <c r="BS60" s="7"/>
      <c r="BT60" s="7"/>
      <c r="BU60" s="7"/>
      <c r="BV60" s="7"/>
      <c r="BW60" s="7"/>
      <c r="BX60" s="8"/>
      <c r="BY60" s="7"/>
      <c r="BZ60" s="7"/>
      <c r="CA60" s="7"/>
      <c r="CB60" s="7"/>
      <c r="CC60" s="8"/>
      <c r="CD60" s="7" t="s">
        <v>2383</v>
      </c>
      <c r="CE60" s="7" t="s">
        <v>977</v>
      </c>
      <c r="CF60" s="7"/>
      <c r="CG60" s="7">
        <v>0</v>
      </c>
      <c r="CH60" s="7" t="s">
        <v>2194</v>
      </c>
      <c r="CI60" s="7"/>
      <c r="CJ60" s="7"/>
      <c r="CK60" s="7"/>
      <c r="CL60" s="24">
        <v>18250</v>
      </c>
      <c r="CM60" s="7"/>
      <c r="CN60" s="7"/>
      <c r="CO60" s="7"/>
      <c r="CP60" s="7"/>
      <c r="CQ60" s="8"/>
      <c r="CR60" s="7"/>
      <c r="CS60" s="7"/>
      <c r="CT60" s="7"/>
      <c r="CU60" s="7"/>
      <c r="CV60" s="24"/>
      <c r="CW60" s="7"/>
      <c r="CX60" s="7"/>
      <c r="CY60" s="7"/>
      <c r="CZ60" s="7"/>
      <c r="DA60" s="7"/>
      <c r="DB60" s="7" t="s">
        <v>2384</v>
      </c>
      <c r="DC60" s="7" t="s">
        <v>977</v>
      </c>
      <c r="DD60" s="7"/>
      <c r="DE60" s="7">
        <v>1</v>
      </c>
      <c r="DF60" s="8">
        <v>365</v>
      </c>
      <c r="DG60" s="7" t="s">
        <v>2385</v>
      </c>
      <c r="DH60" s="7" t="s">
        <v>977</v>
      </c>
      <c r="DI60" s="7"/>
      <c r="DJ60" s="7">
        <v>0</v>
      </c>
      <c r="DK60" s="8">
        <v>350</v>
      </c>
      <c r="DL60" s="7"/>
      <c r="DM60" s="7"/>
      <c r="DN60" s="7"/>
      <c r="DO60" s="7"/>
      <c r="DP60" s="7"/>
      <c r="DQ60" s="7" t="s">
        <v>2386</v>
      </c>
      <c r="DR60" s="7" t="s">
        <v>976</v>
      </c>
      <c r="DS60" s="7"/>
    </row>
    <row r="61" spans="1:123" s="37" customFormat="1" x14ac:dyDescent="0.2">
      <c r="A61" s="20" t="s">
        <v>3541</v>
      </c>
      <c r="B61" s="21">
        <f>COUNTA(B3:B60)</f>
        <v>55</v>
      </c>
      <c r="C61" s="21">
        <f t="shared" ref="C61:BN61" si="0">COUNTA(C3:C60)</f>
        <v>1</v>
      </c>
      <c r="D61" s="21">
        <f t="shared" si="0"/>
        <v>1</v>
      </c>
      <c r="E61" s="21">
        <f t="shared" si="0"/>
        <v>1</v>
      </c>
      <c r="F61" s="21">
        <f t="shared" si="0"/>
        <v>1</v>
      </c>
      <c r="G61" s="21">
        <f t="shared" si="0"/>
        <v>0</v>
      </c>
      <c r="H61" s="21">
        <f t="shared" si="0"/>
        <v>10</v>
      </c>
      <c r="I61" s="21">
        <f t="shared" si="0"/>
        <v>12</v>
      </c>
      <c r="J61" s="21">
        <f t="shared" si="0"/>
        <v>1</v>
      </c>
      <c r="K61" s="21">
        <f t="shared" si="0"/>
        <v>10</v>
      </c>
      <c r="L61" s="21">
        <f t="shared" si="0"/>
        <v>1</v>
      </c>
      <c r="M61" s="21">
        <f t="shared" si="0"/>
        <v>6</v>
      </c>
      <c r="N61" s="21">
        <f t="shared" si="0"/>
        <v>6</v>
      </c>
      <c r="O61" s="21">
        <f t="shared" si="0"/>
        <v>0</v>
      </c>
      <c r="P61" s="21">
        <f t="shared" si="0"/>
        <v>5</v>
      </c>
      <c r="Q61" s="21">
        <f t="shared" si="0"/>
        <v>1</v>
      </c>
      <c r="R61" s="21">
        <f t="shared" si="0"/>
        <v>17</v>
      </c>
      <c r="S61" s="21">
        <f t="shared" si="0"/>
        <v>20</v>
      </c>
      <c r="T61" s="21">
        <f t="shared" si="0"/>
        <v>0</v>
      </c>
      <c r="U61" s="21">
        <f t="shared" si="0"/>
        <v>18</v>
      </c>
      <c r="V61" s="21">
        <f t="shared" si="0"/>
        <v>1</v>
      </c>
      <c r="W61" s="21">
        <f t="shared" si="0"/>
        <v>10</v>
      </c>
      <c r="X61" s="21">
        <f t="shared" si="0"/>
        <v>9</v>
      </c>
      <c r="Y61" s="21">
        <f t="shared" si="0"/>
        <v>0</v>
      </c>
      <c r="Z61" s="21">
        <f t="shared" si="0"/>
        <v>9</v>
      </c>
      <c r="AA61" s="21">
        <f t="shared" si="0"/>
        <v>1</v>
      </c>
      <c r="AB61" s="21">
        <f t="shared" si="0"/>
        <v>8</v>
      </c>
      <c r="AC61" s="21">
        <f t="shared" si="0"/>
        <v>11</v>
      </c>
      <c r="AD61" s="21">
        <f t="shared" si="0"/>
        <v>0</v>
      </c>
      <c r="AE61" s="21">
        <f t="shared" si="0"/>
        <v>10</v>
      </c>
      <c r="AF61" s="21">
        <f t="shared" si="0"/>
        <v>18</v>
      </c>
      <c r="AG61" s="21">
        <f t="shared" si="0"/>
        <v>19</v>
      </c>
      <c r="AH61" s="21">
        <f t="shared" si="0"/>
        <v>0</v>
      </c>
      <c r="AI61" s="21">
        <f t="shared" si="0"/>
        <v>19</v>
      </c>
      <c r="AJ61" s="21">
        <f t="shared" si="0"/>
        <v>15</v>
      </c>
      <c r="AK61" s="21">
        <f t="shared" si="0"/>
        <v>7</v>
      </c>
      <c r="AL61" s="21">
        <f t="shared" si="0"/>
        <v>9</v>
      </c>
      <c r="AM61" s="21">
        <f t="shared" si="0"/>
        <v>1</v>
      </c>
      <c r="AN61" s="21">
        <f t="shared" si="0"/>
        <v>8</v>
      </c>
      <c r="AO61" s="21">
        <f t="shared" si="0"/>
        <v>3</v>
      </c>
      <c r="AP61" s="21">
        <f t="shared" si="0"/>
        <v>8</v>
      </c>
      <c r="AQ61" s="21">
        <f t="shared" si="0"/>
        <v>10</v>
      </c>
      <c r="AR61" s="21">
        <f t="shared" si="0"/>
        <v>1</v>
      </c>
      <c r="AS61" s="21">
        <f t="shared" si="0"/>
        <v>9</v>
      </c>
      <c r="AT61" s="21">
        <f t="shared" si="0"/>
        <v>5</v>
      </c>
      <c r="AU61" s="21">
        <f t="shared" si="0"/>
        <v>11</v>
      </c>
      <c r="AV61" s="21">
        <f t="shared" si="0"/>
        <v>13</v>
      </c>
      <c r="AW61" s="21">
        <f t="shared" si="0"/>
        <v>1</v>
      </c>
      <c r="AX61" s="21">
        <f t="shared" si="0"/>
        <v>13</v>
      </c>
      <c r="AY61" s="21">
        <f t="shared" si="0"/>
        <v>9</v>
      </c>
      <c r="AZ61" s="21">
        <f t="shared" si="0"/>
        <v>4</v>
      </c>
      <c r="BA61" s="21">
        <f t="shared" si="0"/>
        <v>4</v>
      </c>
      <c r="BB61" s="21">
        <f t="shared" si="0"/>
        <v>5</v>
      </c>
      <c r="BC61" s="21">
        <f t="shared" si="0"/>
        <v>1</v>
      </c>
      <c r="BD61" s="21">
        <f t="shared" si="0"/>
        <v>5</v>
      </c>
      <c r="BE61" s="21">
        <f t="shared" si="0"/>
        <v>4</v>
      </c>
      <c r="BF61" s="21">
        <f t="shared" si="0"/>
        <v>2</v>
      </c>
      <c r="BG61" s="21">
        <f t="shared" si="0"/>
        <v>1</v>
      </c>
      <c r="BH61" s="21">
        <f t="shared" si="0"/>
        <v>1</v>
      </c>
      <c r="BI61" s="21">
        <f t="shared" si="0"/>
        <v>0</v>
      </c>
      <c r="BJ61" s="21">
        <f t="shared" si="0"/>
        <v>1</v>
      </c>
      <c r="BK61" s="21">
        <f t="shared" si="0"/>
        <v>0</v>
      </c>
      <c r="BL61" s="21">
        <f t="shared" si="0"/>
        <v>0</v>
      </c>
      <c r="BM61" s="21">
        <f t="shared" si="0"/>
        <v>0</v>
      </c>
      <c r="BN61" s="21">
        <f t="shared" si="0"/>
        <v>0</v>
      </c>
      <c r="BO61" s="21">
        <f t="shared" ref="BO61:DS61" si="1">COUNTA(BO3:BO60)</f>
        <v>0</v>
      </c>
      <c r="BP61" s="21">
        <f t="shared" si="1"/>
        <v>0</v>
      </c>
      <c r="BQ61" s="21">
        <f t="shared" si="1"/>
        <v>20</v>
      </c>
      <c r="BR61" s="21">
        <f t="shared" si="1"/>
        <v>21</v>
      </c>
      <c r="BS61" s="21">
        <f t="shared" si="1"/>
        <v>1</v>
      </c>
      <c r="BT61" s="21">
        <f t="shared" si="1"/>
        <v>20</v>
      </c>
      <c r="BU61" s="21">
        <f t="shared" si="1"/>
        <v>22</v>
      </c>
      <c r="BV61" s="21">
        <f t="shared" si="1"/>
        <v>2</v>
      </c>
      <c r="BW61" s="21">
        <f t="shared" si="1"/>
        <v>22</v>
      </c>
      <c r="BX61" s="21">
        <f t="shared" si="1"/>
        <v>16</v>
      </c>
      <c r="BY61" s="21">
        <f t="shared" si="1"/>
        <v>1</v>
      </c>
      <c r="BZ61" s="21">
        <f t="shared" si="1"/>
        <v>1</v>
      </c>
      <c r="CA61" s="21">
        <f t="shared" si="1"/>
        <v>1</v>
      </c>
      <c r="CB61" s="21">
        <f t="shared" si="1"/>
        <v>1</v>
      </c>
      <c r="CC61" s="21">
        <f t="shared" si="1"/>
        <v>1</v>
      </c>
      <c r="CD61" s="21">
        <f t="shared" si="1"/>
        <v>32</v>
      </c>
      <c r="CE61" s="21">
        <f t="shared" si="1"/>
        <v>33</v>
      </c>
      <c r="CF61" s="21">
        <f t="shared" si="1"/>
        <v>3</v>
      </c>
      <c r="CG61" s="21">
        <f t="shared" si="1"/>
        <v>31</v>
      </c>
      <c r="CH61" s="21">
        <f t="shared" si="1"/>
        <v>35</v>
      </c>
      <c r="CI61" s="21">
        <f t="shared" si="1"/>
        <v>2</v>
      </c>
      <c r="CJ61" s="21">
        <f t="shared" si="1"/>
        <v>10</v>
      </c>
      <c r="CK61" s="21">
        <f t="shared" si="1"/>
        <v>6</v>
      </c>
      <c r="CL61" s="21">
        <f t="shared" si="1"/>
        <v>7</v>
      </c>
      <c r="CM61" s="21">
        <f t="shared" si="1"/>
        <v>23</v>
      </c>
      <c r="CN61" s="21">
        <f t="shared" si="1"/>
        <v>28</v>
      </c>
      <c r="CO61" s="21">
        <f t="shared" si="1"/>
        <v>0</v>
      </c>
      <c r="CP61" s="21">
        <f t="shared" si="1"/>
        <v>27</v>
      </c>
      <c r="CQ61" s="21">
        <f t="shared" si="1"/>
        <v>7</v>
      </c>
      <c r="CR61" s="21">
        <f t="shared" si="1"/>
        <v>8</v>
      </c>
      <c r="CS61" s="21">
        <f t="shared" si="1"/>
        <v>8</v>
      </c>
      <c r="CT61" s="21">
        <f t="shared" si="1"/>
        <v>1</v>
      </c>
      <c r="CU61" s="21">
        <f t="shared" si="1"/>
        <v>8</v>
      </c>
      <c r="CV61" s="21">
        <f t="shared" si="1"/>
        <v>5</v>
      </c>
      <c r="CW61" s="21">
        <f t="shared" si="1"/>
        <v>10</v>
      </c>
      <c r="CX61" s="21">
        <f t="shared" si="1"/>
        <v>9</v>
      </c>
      <c r="CY61" s="21">
        <f t="shared" si="1"/>
        <v>0</v>
      </c>
      <c r="CZ61" s="21">
        <f t="shared" si="1"/>
        <v>8</v>
      </c>
      <c r="DA61" s="21">
        <f t="shared" si="1"/>
        <v>9</v>
      </c>
      <c r="DB61" s="21">
        <f t="shared" si="1"/>
        <v>23</v>
      </c>
      <c r="DC61" s="21">
        <f t="shared" si="1"/>
        <v>24</v>
      </c>
      <c r="DD61" s="21">
        <f t="shared" si="1"/>
        <v>6</v>
      </c>
      <c r="DE61" s="21">
        <f t="shared" si="1"/>
        <v>24</v>
      </c>
      <c r="DF61" s="21">
        <f t="shared" si="1"/>
        <v>13</v>
      </c>
      <c r="DG61" s="21">
        <f t="shared" si="1"/>
        <v>9</v>
      </c>
      <c r="DH61" s="21">
        <f t="shared" si="1"/>
        <v>9</v>
      </c>
      <c r="DI61" s="21">
        <f t="shared" si="1"/>
        <v>1</v>
      </c>
      <c r="DJ61" s="21">
        <f t="shared" si="1"/>
        <v>8</v>
      </c>
      <c r="DK61" s="21">
        <f t="shared" si="1"/>
        <v>5</v>
      </c>
      <c r="DL61" s="21">
        <f t="shared" si="1"/>
        <v>4</v>
      </c>
      <c r="DM61" s="21">
        <f t="shared" si="1"/>
        <v>4</v>
      </c>
      <c r="DN61" s="21">
        <f t="shared" si="1"/>
        <v>0</v>
      </c>
      <c r="DO61" s="21">
        <f t="shared" si="1"/>
        <v>4</v>
      </c>
      <c r="DP61" s="21">
        <f t="shared" si="1"/>
        <v>2</v>
      </c>
      <c r="DQ61" s="21">
        <f t="shared" si="1"/>
        <v>15</v>
      </c>
      <c r="DR61" s="21">
        <f t="shared" si="1"/>
        <v>49</v>
      </c>
      <c r="DS61" s="21">
        <f t="shared" si="1"/>
        <v>0</v>
      </c>
    </row>
    <row r="62" spans="1:123" s="37" customFormat="1" x14ac:dyDescent="0.2">
      <c r="B62" s="10"/>
      <c r="C62" s="10"/>
      <c r="D62" s="10"/>
      <c r="E62" s="10"/>
      <c r="F62" s="10"/>
      <c r="G62" s="10"/>
      <c r="H62" s="10"/>
      <c r="I62" s="10"/>
      <c r="J62" s="10"/>
      <c r="K62" s="10"/>
      <c r="L62" s="11"/>
      <c r="M62" s="10"/>
      <c r="N62" s="10"/>
      <c r="O62" s="10"/>
      <c r="P62" s="10"/>
      <c r="Q62" s="11"/>
      <c r="R62" s="10"/>
      <c r="S62" s="10"/>
      <c r="T62" s="10"/>
      <c r="U62" s="10"/>
      <c r="V62" s="10"/>
      <c r="W62" s="10"/>
      <c r="X62" s="10"/>
      <c r="Y62" s="10"/>
      <c r="Z62" s="10"/>
      <c r="AA62" s="11"/>
      <c r="AB62" s="10"/>
      <c r="AC62" s="10"/>
      <c r="AD62" s="10"/>
      <c r="AE62" s="10"/>
      <c r="AF62" s="10"/>
      <c r="AG62" s="10"/>
      <c r="AH62" s="10"/>
      <c r="AI62" s="10"/>
      <c r="AJ62" s="11"/>
      <c r="AK62" s="10"/>
      <c r="AL62" s="10"/>
      <c r="AM62" s="10"/>
      <c r="AN62" s="10"/>
      <c r="AO62" s="10"/>
      <c r="AP62" s="10"/>
      <c r="AQ62" s="10"/>
      <c r="AR62" s="10"/>
      <c r="AS62" s="10"/>
      <c r="AT62" s="11"/>
      <c r="AU62" s="10"/>
      <c r="AV62" s="10"/>
      <c r="AW62" s="10"/>
      <c r="AX62" s="10"/>
      <c r="AY62" s="10"/>
      <c r="AZ62" s="11"/>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1"/>
      <c r="BY62" s="10"/>
      <c r="BZ62" s="10"/>
      <c r="CA62" s="10"/>
      <c r="CB62" s="10"/>
      <c r="CC62" s="11"/>
      <c r="CD62" s="10"/>
      <c r="CE62" s="10"/>
      <c r="CF62" s="10"/>
      <c r="CG62" s="10"/>
      <c r="CH62" s="10"/>
      <c r="CI62" s="10"/>
      <c r="CJ62" s="10"/>
      <c r="CK62" s="10"/>
      <c r="CL62" s="26"/>
      <c r="CM62" s="10"/>
      <c r="CN62" s="10"/>
      <c r="CO62" s="10"/>
      <c r="CP62" s="10"/>
      <c r="CQ62" s="11"/>
      <c r="CR62" s="10"/>
      <c r="CS62" s="10"/>
      <c r="CT62" s="10"/>
      <c r="CU62" s="10"/>
      <c r="CV62" s="26"/>
      <c r="CW62" s="10"/>
      <c r="CX62" s="10"/>
      <c r="CY62" s="10"/>
      <c r="CZ62" s="10"/>
      <c r="DA62" s="10"/>
      <c r="DB62" s="10"/>
      <c r="DC62" s="10"/>
      <c r="DD62" s="10"/>
      <c r="DE62" s="10"/>
      <c r="DF62" s="11"/>
      <c r="DG62" s="10"/>
      <c r="DH62" s="10"/>
      <c r="DI62" s="10"/>
      <c r="DJ62" s="10"/>
      <c r="DK62" s="11"/>
      <c r="DL62" s="10"/>
      <c r="DM62" s="10"/>
      <c r="DN62" s="10"/>
      <c r="DO62" s="10"/>
      <c r="DP62" s="10"/>
      <c r="DQ62" s="10"/>
      <c r="DR62" s="10"/>
      <c r="DS62" s="10"/>
    </row>
    <row r="63" spans="1:123" s="37" customFormat="1" x14ac:dyDescent="0.2">
      <c r="B63" s="10"/>
      <c r="C63" s="10"/>
      <c r="D63" s="10"/>
      <c r="E63" s="10"/>
      <c r="F63" s="10"/>
      <c r="G63" s="10"/>
      <c r="H63" s="10"/>
      <c r="I63" s="10"/>
      <c r="J63" s="10"/>
      <c r="K63" s="10"/>
      <c r="L63" s="11"/>
      <c r="M63" s="10"/>
      <c r="N63" s="10"/>
      <c r="O63" s="10"/>
      <c r="P63" s="10"/>
      <c r="Q63" s="11"/>
      <c r="R63" s="10"/>
      <c r="S63" s="10"/>
      <c r="T63" s="10"/>
      <c r="U63" s="10"/>
      <c r="V63" s="10"/>
      <c r="W63" s="10"/>
      <c r="X63" s="10"/>
      <c r="Y63" s="10"/>
      <c r="Z63" s="10"/>
      <c r="AA63" s="11"/>
      <c r="AB63" s="10"/>
      <c r="AC63" s="10"/>
      <c r="AD63" s="10"/>
      <c r="AE63" s="10"/>
      <c r="AF63" s="10"/>
      <c r="AG63" s="10"/>
      <c r="AH63" s="10"/>
      <c r="AI63" s="10"/>
      <c r="AJ63" s="11"/>
      <c r="AK63" s="10"/>
      <c r="AL63" s="10"/>
      <c r="AM63" s="10"/>
      <c r="AN63" s="10"/>
      <c r="AO63" s="10"/>
      <c r="AP63" s="10"/>
      <c r="AQ63" s="10"/>
      <c r="AR63" s="10"/>
      <c r="AS63" s="10"/>
      <c r="AT63" s="11"/>
      <c r="AU63" s="10"/>
      <c r="AV63" s="10"/>
      <c r="AW63" s="10"/>
      <c r="AX63" s="10"/>
      <c r="AY63" s="10"/>
      <c r="AZ63" s="11"/>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1"/>
      <c r="BY63" s="10"/>
      <c r="BZ63" s="10"/>
      <c r="CA63" s="10"/>
      <c r="CB63" s="10"/>
      <c r="CC63" s="11"/>
      <c r="CD63" s="10"/>
      <c r="CE63" s="10"/>
      <c r="CF63" s="10"/>
      <c r="CG63" s="10"/>
      <c r="CH63" s="10"/>
      <c r="CI63" s="10"/>
      <c r="CJ63" s="10"/>
      <c r="CK63" s="10"/>
      <c r="CL63" s="26"/>
      <c r="CM63" s="10"/>
      <c r="CN63" s="10"/>
      <c r="CO63" s="10"/>
      <c r="CP63" s="10"/>
      <c r="CQ63" s="11"/>
      <c r="CR63" s="10"/>
      <c r="CS63" s="10"/>
      <c r="CT63" s="10"/>
      <c r="CU63" s="10"/>
      <c r="CV63" s="26"/>
      <c r="CW63" s="10"/>
      <c r="CX63" s="10"/>
      <c r="CY63" s="10"/>
      <c r="CZ63" s="10"/>
      <c r="DA63" s="10"/>
      <c r="DB63" s="10"/>
      <c r="DC63" s="10"/>
      <c r="DD63" s="10"/>
      <c r="DE63" s="10"/>
      <c r="DF63" s="11"/>
      <c r="DG63" s="10"/>
      <c r="DH63" s="10"/>
      <c r="DI63" s="10"/>
      <c r="DJ63" s="10"/>
      <c r="DK63" s="11"/>
      <c r="DL63" s="10"/>
      <c r="DM63" s="10"/>
      <c r="DN63" s="10"/>
      <c r="DO63" s="10"/>
      <c r="DP63" s="10"/>
      <c r="DQ63" s="10"/>
      <c r="DR63" s="10"/>
      <c r="DS63" s="10"/>
    </row>
    <row r="64" spans="1:123" s="37" customFormat="1" x14ac:dyDescent="0.2">
      <c r="B64" s="10"/>
      <c r="C64" s="10"/>
      <c r="D64" s="10"/>
      <c r="E64" s="10"/>
      <c r="F64" s="10"/>
      <c r="G64" s="10"/>
      <c r="H64" s="10"/>
      <c r="I64" s="10"/>
      <c r="J64" s="10"/>
      <c r="K64" s="10"/>
      <c r="L64" s="11"/>
      <c r="M64" s="10"/>
      <c r="N64" s="10"/>
      <c r="O64" s="10"/>
      <c r="P64" s="10"/>
      <c r="Q64" s="11"/>
      <c r="R64" s="10"/>
      <c r="S64" s="10"/>
      <c r="T64" s="10"/>
      <c r="U64" s="10"/>
      <c r="V64" s="10"/>
      <c r="W64" s="10"/>
      <c r="X64" s="10"/>
      <c r="Y64" s="10"/>
      <c r="Z64" s="10"/>
      <c r="AA64" s="11"/>
      <c r="AB64" s="10"/>
      <c r="AC64" s="10"/>
      <c r="AD64" s="10"/>
      <c r="AE64" s="10"/>
      <c r="AF64" s="10"/>
      <c r="AG64" s="10"/>
      <c r="AH64" s="10"/>
      <c r="AI64" s="10"/>
      <c r="AJ64" s="11"/>
      <c r="AK64" s="10"/>
      <c r="AL64" s="10"/>
      <c r="AM64" s="10"/>
      <c r="AN64" s="10"/>
      <c r="AO64" s="10"/>
      <c r="AP64" s="10"/>
      <c r="AQ64" s="10"/>
      <c r="AR64" s="10"/>
      <c r="AS64" s="10"/>
      <c r="AT64" s="11"/>
      <c r="AU64" s="10"/>
      <c r="AV64" s="10"/>
      <c r="AW64" s="10"/>
      <c r="AX64" s="10"/>
      <c r="AY64" s="10"/>
      <c r="AZ64" s="11"/>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1"/>
      <c r="BY64" s="10"/>
      <c r="BZ64" s="10"/>
      <c r="CA64" s="10"/>
      <c r="CB64" s="10"/>
      <c r="CC64" s="11"/>
      <c r="CD64" s="10"/>
      <c r="CE64" s="10"/>
      <c r="CF64" s="10"/>
      <c r="CG64" s="10"/>
      <c r="CH64" s="10"/>
      <c r="CI64" s="10"/>
      <c r="CJ64" s="10"/>
      <c r="CK64" s="10"/>
      <c r="CL64" s="26"/>
      <c r="CM64" s="10"/>
      <c r="CN64" s="10"/>
      <c r="CO64" s="10"/>
      <c r="CP64" s="10"/>
      <c r="CQ64" s="11"/>
      <c r="CR64" s="10"/>
      <c r="CS64" s="10"/>
      <c r="CT64" s="10"/>
      <c r="CU64" s="10"/>
      <c r="CV64" s="26"/>
      <c r="CW64" s="10"/>
      <c r="CX64" s="10"/>
      <c r="CY64" s="10"/>
      <c r="CZ64" s="10"/>
      <c r="DA64" s="10"/>
      <c r="DB64" s="10"/>
      <c r="DC64" s="10"/>
      <c r="DD64" s="10"/>
      <c r="DE64" s="10"/>
      <c r="DF64" s="11"/>
      <c r="DG64" s="10"/>
      <c r="DH64" s="10"/>
      <c r="DI64" s="10"/>
      <c r="DJ64" s="10"/>
      <c r="DK64" s="11"/>
      <c r="DL64" s="10"/>
      <c r="DM64" s="10"/>
      <c r="DN64" s="10"/>
      <c r="DO64" s="10"/>
      <c r="DP64" s="10"/>
      <c r="DQ64" s="10"/>
      <c r="DR64" s="10"/>
      <c r="DS64" s="10"/>
    </row>
    <row r="65" spans="2:123" s="37" customFormat="1" x14ac:dyDescent="0.2">
      <c r="B65" s="10"/>
      <c r="C65" s="10"/>
      <c r="D65" s="10"/>
      <c r="E65" s="10"/>
      <c r="F65" s="10"/>
      <c r="G65" s="10"/>
      <c r="H65" s="10"/>
      <c r="I65" s="10"/>
      <c r="J65" s="10"/>
      <c r="K65" s="10"/>
      <c r="L65" s="11"/>
      <c r="M65" s="10"/>
      <c r="N65" s="10"/>
      <c r="O65" s="10"/>
      <c r="P65" s="10"/>
      <c r="Q65" s="11"/>
      <c r="R65" s="10"/>
      <c r="S65" s="10"/>
      <c r="T65" s="10"/>
      <c r="U65" s="10"/>
      <c r="V65" s="10"/>
      <c r="W65" s="10"/>
      <c r="X65" s="10"/>
      <c r="Y65" s="10"/>
      <c r="Z65" s="10"/>
      <c r="AA65" s="11"/>
      <c r="AB65" s="10"/>
      <c r="AC65" s="10"/>
      <c r="AD65" s="10"/>
      <c r="AE65" s="10"/>
      <c r="AF65" s="10"/>
      <c r="AG65" s="10"/>
      <c r="AH65" s="10"/>
      <c r="AI65" s="10"/>
      <c r="AJ65" s="11"/>
      <c r="AK65" s="10"/>
      <c r="AL65" s="10"/>
      <c r="AM65" s="10"/>
      <c r="AN65" s="10"/>
      <c r="AO65" s="10"/>
      <c r="AP65" s="10"/>
      <c r="AQ65" s="10"/>
      <c r="AR65" s="10"/>
      <c r="AS65" s="10"/>
      <c r="AT65" s="11"/>
      <c r="AU65" s="10"/>
      <c r="AV65" s="10"/>
      <c r="AW65" s="10"/>
      <c r="AX65" s="10"/>
      <c r="AY65" s="10"/>
      <c r="AZ65" s="11"/>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1"/>
      <c r="BY65" s="10"/>
      <c r="BZ65" s="10"/>
      <c r="CA65" s="10"/>
      <c r="CB65" s="10"/>
      <c r="CC65" s="11"/>
      <c r="CD65" s="10"/>
      <c r="CE65" s="10"/>
      <c r="CF65" s="10"/>
      <c r="CG65" s="10"/>
      <c r="CH65" s="10"/>
      <c r="CI65" s="10"/>
      <c r="CJ65" s="10"/>
      <c r="CK65" s="10"/>
      <c r="CL65" s="26"/>
      <c r="CM65" s="10"/>
      <c r="CN65" s="10"/>
      <c r="CO65" s="10"/>
      <c r="CP65" s="10"/>
      <c r="CQ65" s="11"/>
      <c r="CR65" s="10"/>
      <c r="CS65" s="10"/>
      <c r="CT65" s="10"/>
      <c r="CU65" s="10"/>
      <c r="CV65" s="26"/>
      <c r="CW65" s="10"/>
      <c r="CX65" s="10"/>
      <c r="CY65" s="10"/>
      <c r="CZ65" s="10"/>
      <c r="DA65" s="10"/>
      <c r="DB65" s="10"/>
      <c r="DC65" s="10"/>
      <c r="DD65" s="10"/>
      <c r="DE65" s="10"/>
      <c r="DF65" s="11"/>
      <c r="DG65" s="10"/>
      <c r="DH65" s="10"/>
      <c r="DI65" s="10"/>
      <c r="DJ65" s="10"/>
      <c r="DK65" s="11"/>
      <c r="DL65" s="10"/>
      <c r="DM65" s="10"/>
      <c r="DN65" s="10"/>
      <c r="DO65" s="10"/>
      <c r="DP65" s="10"/>
      <c r="DQ65" s="10"/>
      <c r="DR65" s="10"/>
      <c r="DS65" s="10"/>
    </row>
    <row r="66" spans="2:123" s="37" customFormat="1" x14ac:dyDescent="0.2">
      <c r="B66" s="10"/>
      <c r="C66" s="10"/>
      <c r="D66" s="10"/>
      <c r="E66" s="10"/>
      <c r="F66" s="10"/>
      <c r="G66" s="10"/>
      <c r="H66" s="10"/>
      <c r="I66" s="10"/>
      <c r="J66" s="10"/>
      <c r="K66" s="10"/>
      <c r="L66" s="11"/>
      <c r="M66" s="10"/>
      <c r="N66" s="10"/>
      <c r="O66" s="10"/>
      <c r="P66" s="10"/>
      <c r="Q66" s="11"/>
      <c r="R66" s="10"/>
      <c r="S66" s="10"/>
      <c r="T66" s="10"/>
      <c r="U66" s="10"/>
      <c r="V66" s="10"/>
      <c r="W66" s="10"/>
      <c r="X66" s="10"/>
      <c r="Y66" s="10"/>
      <c r="Z66" s="10"/>
      <c r="AA66" s="11"/>
      <c r="AB66" s="10"/>
      <c r="AC66" s="10"/>
      <c r="AD66" s="10"/>
      <c r="AE66" s="10"/>
      <c r="AF66" s="10"/>
      <c r="AG66" s="10"/>
      <c r="AH66" s="10"/>
      <c r="AI66" s="10"/>
      <c r="AJ66" s="11"/>
      <c r="AK66" s="10"/>
      <c r="AL66" s="10"/>
      <c r="AM66" s="10"/>
      <c r="AN66" s="10"/>
      <c r="AO66" s="10"/>
      <c r="AP66" s="10"/>
      <c r="AQ66" s="10"/>
      <c r="AR66" s="10"/>
      <c r="AS66" s="10"/>
      <c r="AT66" s="11"/>
      <c r="AU66" s="10"/>
      <c r="AV66" s="10"/>
      <c r="AW66" s="10"/>
      <c r="AX66" s="10"/>
      <c r="AY66" s="10"/>
      <c r="AZ66" s="11"/>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1"/>
      <c r="BY66" s="10"/>
      <c r="BZ66" s="10"/>
      <c r="CA66" s="10"/>
      <c r="CB66" s="10"/>
      <c r="CC66" s="11"/>
      <c r="CD66" s="10"/>
      <c r="CE66" s="10"/>
      <c r="CF66" s="10"/>
      <c r="CG66" s="10"/>
      <c r="CH66" s="10"/>
      <c r="CI66" s="10"/>
      <c r="CJ66" s="10"/>
      <c r="CK66" s="10"/>
      <c r="CL66" s="26"/>
      <c r="CM66" s="10"/>
      <c r="CN66" s="10"/>
      <c r="CO66" s="10"/>
      <c r="CP66" s="10"/>
      <c r="CQ66" s="11"/>
      <c r="CR66" s="10"/>
      <c r="CS66" s="10"/>
      <c r="CT66" s="10"/>
      <c r="CU66" s="10"/>
      <c r="CV66" s="26"/>
      <c r="CW66" s="10"/>
      <c r="CX66" s="10"/>
      <c r="CY66" s="10"/>
      <c r="CZ66" s="10"/>
      <c r="DA66" s="10"/>
      <c r="DB66" s="10"/>
      <c r="DC66" s="10"/>
      <c r="DD66" s="10"/>
      <c r="DE66" s="10"/>
      <c r="DF66" s="11"/>
      <c r="DG66" s="10"/>
      <c r="DH66" s="10"/>
      <c r="DI66" s="10"/>
      <c r="DJ66" s="10"/>
      <c r="DK66" s="11"/>
      <c r="DL66" s="10"/>
      <c r="DM66" s="10"/>
      <c r="DN66" s="10"/>
      <c r="DO66" s="10"/>
      <c r="DP66" s="10"/>
      <c r="DQ66" s="10"/>
      <c r="DR66" s="10"/>
      <c r="DS66" s="10"/>
    </row>
    <row r="67" spans="2:123" s="37" customFormat="1" x14ac:dyDescent="0.2">
      <c r="B67" s="10"/>
      <c r="C67" s="10"/>
      <c r="D67" s="10"/>
      <c r="E67" s="10"/>
      <c r="F67" s="10"/>
      <c r="G67" s="10"/>
      <c r="H67" s="10"/>
      <c r="I67" s="10"/>
      <c r="J67" s="10"/>
      <c r="K67" s="10"/>
      <c r="L67" s="11"/>
      <c r="M67" s="10"/>
      <c r="N67" s="10"/>
      <c r="O67" s="10"/>
      <c r="P67" s="10"/>
      <c r="Q67" s="11"/>
      <c r="R67" s="10"/>
      <c r="S67" s="10"/>
      <c r="T67" s="10"/>
      <c r="U67" s="10"/>
      <c r="V67" s="10"/>
      <c r="W67" s="10"/>
      <c r="X67" s="10"/>
      <c r="Y67" s="10"/>
      <c r="Z67" s="10"/>
      <c r="AA67" s="11"/>
      <c r="AB67" s="10"/>
      <c r="AC67" s="10"/>
      <c r="AD67" s="10"/>
      <c r="AE67" s="10"/>
      <c r="AF67" s="10"/>
      <c r="AG67" s="10"/>
      <c r="AH67" s="10"/>
      <c r="AI67" s="10"/>
      <c r="AJ67" s="11"/>
      <c r="AK67" s="10"/>
      <c r="AL67" s="10"/>
      <c r="AM67" s="10"/>
      <c r="AN67" s="10"/>
      <c r="AO67" s="10"/>
      <c r="AP67" s="10"/>
      <c r="AQ67" s="10"/>
      <c r="AR67" s="10"/>
      <c r="AS67" s="10"/>
      <c r="AT67" s="11"/>
      <c r="AU67" s="10"/>
      <c r="AV67" s="10"/>
      <c r="AW67" s="10"/>
      <c r="AX67" s="10"/>
      <c r="AY67" s="10"/>
      <c r="AZ67" s="11"/>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1"/>
      <c r="BY67" s="10"/>
      <c r="BZ67" s="10"/>
      <c r="CA67" s="10"/>
      <c r="CB67" s="10"/>
      <c r="CC67" s="11"/>
      <c r="CD67" s="10"/>
      <c r="CE67" s="10"/>
      <c r="CF67" s="10"/>
      <c r="CG67" s="10"/>
      <c r="CH67" s="10"/>
      <c r="CI67" s="10"/>
      <c r="CJ67" s="10"/>
      <c r="CK67" s="10"/>
      <c r="CL67" s="26"/>
      <c r="CM67" s="10"/>
      <c r="CN67" s="10"/>
      <c r="CO67" s="10"/>
      <c r="CP67" s="10"/>
      <c r="CQ67" s="11"/>
      <c r="CR67" s="10"/>
      <c r="CS67" s="10"/>
      <c r="CT67" s="10"/>
      <c r="CU67" s="10"/>
      <c r="CV67" s="26"/>
      <c r="CW67" s="10"/>
      <c r="CX67" s="10"/>
      <c r="CY67" s="10"/>
      <c r="CZ67" s="10"/>
      <c r="DA67" s="10"/>
      <c r="DB67" s="10"/>
      <c r="DC67" s="10"/>
      <c r="DD67" s="10"/>
      <c r="DE67" s="10"/>
      <c r="DF67" s="11"/>
      <c r="DG67" s="10"/>
      <c r="DH67" s="10"/>
      <c r="DI67" s="10"/>
      <c r="DJ67" s="10"/>
      <c r="DK67" s="11"/>
      <c r="DL67" s="10"/>
      <c r="DM67" s="10"/>
      <c r="DN67" s="10"/>
      <c r="DO67" s="10"/>
      <c r="DP67" s="10"/>
      <c r="DQ67" s="10"/>
      <c r="DR67" s="10"/>
      <c r="DS67" s="10"/>
    </row>
    <row r="68" spans="2:123" s="37" customFormat="1" x14ac:dyDescent="0.2">
      <c r="B68" s="10"/>
      <c r="C68" s="10"/>
      <c r="D68" s="10"/>
      <c r="E68" s="10"/>
      <c r="F68" s="10"/>
      <c r="G68" s="10"/>
      <c r="H68" s="10"/>
      <c r="I68" s="10"/>
      <c r="J68" s="10"/>
      <c r="K68" s="10"/>
      <c r="L68" s="11"/>
      <c r="M68" s="10"/>
      <c r="N68" s="10"/>
      <c r="O68" s="10"/>
      <c r="P68" s="10"/>
      <c r="Q68" s="11"/>
      <c r="R68" s="10"/>
      <c r="S68" s="10"/>
      <c r="T68" s="10"/>
      <c r="U68" s="10"/>
      <c r="V68" s="10"/>
      <c r="W68" s="10"/>
      <c r="X68" s="10"/>
      <c r="Y68" s="10"/>
      <c r="Z68" s="10"/>
      <c r="AA68" s="11"/>
      <c r="AB68" s="10"/>
      <c r="AC68" s="10"/>
      <c r="AD68" s="10"/>
      <c r="AE68" s="10"/>
      <c r="AF68" s="10"/>
      <c r="AG68" s="10"/>
      <c r="AH68" s="10"/>
      <c r="AI68" s="10"/>
      <c r="AJ68" s="11"/>
      <c r="AK68" s="10"/>
      <c r="AL68" s="10"/>
      <c r="AM68" s="10"/>
      <c r="AN68" s="10"/>
      <c r="AO68" s="10"/>
      <c r="AP68" s="10"/>
      <c r="AQ68" s="10"/>
      <c r="AR68" s="10"/>
      <c r="AS68" s="10"/>
      <c r="AT68" s="11"/>
      <c r="AU68" s="10"/>
      <c r="AV68" s="10"/>
      <c r="AW68" s="10"/>
      <c r="AX68" s="10"/>
      <c r="AY68" s="10"/>
      <c r="AZ68" s="11"/>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1"/>
      <c r="BY68" s="10"/>
      <c r="BZ68" s="10"/>
      <c r="CA68" s="10"/>
      <c r="CB68" s="10"/>
      <c r="CC68" s="11"/>
      <c r="CD68" s="10"/>
      <c r="CE68" s="10"/>
      <c r="CF68" s="10"/>
      <c r="CG68" s="10"/>
      <c r="CH68" s="10"/>
      <c r="CI68" s="10"/>
      <c r="CJ68" s="10"/>
      <c r="CK68" s="10"/>
      <c r="CL68" s="26"/>
      <c r="CM68" s="10"/>
      <c r="CN68" s="10"/>
      <c r="CO68" s="10"/>
      <c r="CP68" s="10"/>
      <c r="CQ68" s="11"/>
      <c r="CR68" s="10"/>
      <c r="CS68" s="10"/>
      <c r="CT68" s="10"/>
      <c r="CU68" s="10"/>
      <c r="CV68" s="26"/>
      <c r="CW68" s="10"/>
      <c r="CX68" s="10"/>
      <c r="CY68" s="10"/>
      <c r="CZ68" s="10"/>
      <c r="DA68" s="10"/>
      <c r="DB68" s="10"/>
      <c r="DC68" s="10"/>
      <c r="DD68" s="10"/>
      <c r="DE68" s="10"/>
      <c r="DF68" s="11"/>
      <c r="DG68" s="10"/>
      <c r="DH68" s="10"/>
      <c r="DI68" s="10"/>
      <c r="DJ68" s="10"/>
      <c r="DK68" s="11"/>
      <c r="DL68" s="10"/>
      <c r="DM68" s="10"/>
      <c r="DN68" s="10"/>
      <c r="DO68" s="10"/>
      <c r="DP68" s="10"/>
      <c r="DQ68" s="10"/>
      <c r="DR68" s="10"/>
      <c r="DS68" s="10"/>
    </row>
    <row r="69" spans="2:123" s="37" customFormat="1" x14ac:dyDescent="0.2">
      <c r="B69" s="10"/>
      <c r="C69" s="10"/>
      <c r="D69" s="10"/>
      <c r="E69" s="10"/>
      <c r="F69" s="10"/>
      <c r="G69" s="10"/>
      <c r="H69" s="10"/>
      <c r="I69" s="10"/>
      <c r="J69" s="10"/>
      <c r="K69" s="10"/>
      <c r="L69" s="11"/>
      <c r="M69" s="10"/>
      <c r="N69" s="10"/>
      <c r="O69" s="10"/>
      <c r="P69" s="10"/>
      <c r="Q69" s="11"/>
      <c r="R69" s="10"/>
      <c r="S69" s="10"/>
      <c r="T69" s="10"/>
      <c r="U69" s="10"/>
      <c r="V69" s="10"/>
      <c r="W69" s="10"/>
      <c r="X69" s="10"/>
      <c r="Y69" s="10"/>
      <c r="Z69" s="10"/>
      <c r="AA69" s="11"/>
      <c r="AB69" s="10"/>
      <c r="AC69" s="10"/>
      <c r="AD69" s="10"/>
      <c r="AE69" s="10"/>
      <c r="AF69" s="10"/>
      <c r="AG69" s="10"/>
      <c r="AH69" s="10"/>
      <c r="AI69" s="10"/>
      <c r="AJ69" s="11"/>
      <c r="AK69" s="10"/>
      <c r="AL69" s="10"/>
      <c r="AM69" s="10"/>
      <c r="AN69" s="10"/>
      <c r="AO69" s="10"/>
      <c r="AP69" s="10"/>
      <c r="AQ69" s="10"/>
      <c r="AR69" s="10"/>
      <c r="AS69" s="10"/>
      <c r="AT69" s="11"/>
      <c r="AU69" s="10"/>
      <c r="AV69" s="10"/>
      <c r="AW69" s="10"/>
      <c r="AX69" s="10"/>
      <c r="AY69" s="10"/>
      <c r="AZ69" s="11"/>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1"/>
      <c r="BY69" s="10"/>
      <c r="BZ69" s="10"/>
      <c r="CA69" s="10"/>
      <c r="CB69" s="10"/>
      <c r="CC69" s="11"/>
      <c r="CD69" s="10"/>
      <c r="CE69" s="10"/>
      <c r="CF69" s="10"/>
      <c r="CG69" s="10"/>
      <c r="CH69" s="10"/>
      <c r="CI69" s="10"/>
      <c r="CJ69" s="10"/>
      <c r="CK69" s="10"/>
      <c r="CL69" s="26"/>
      <c r="CM69" s="10"/>
      <c r="CN69" s="10"/>
      <c r="CO69" s="10"/>
      <c r="CP69" s="10"/>
      <c r="CQ69" s="11"/>
      <c r="CR69" s="10"/>
      <c r="CS69" s="10"/>
      <c r="CT69" s="10"/>
      <c r="CU69" s="10"/>
      <c r="CV69" s="26"/>
      <c r="CW69" s="10"/>
      <c r="CX69" s="10"/>
      <c r="CY69" s="10"/>
      <c r="CZ69" s="10"/>
      <c r="DA69" s="10"/>
      <c r="DB69" s="10"/>
      <c r="DC69" s="10"/>
      <c r="DD69" s="10"/>
      <c r="DE69" s="10"/>
      <c r="DF69" s="11"/>
      <c r="DG69" s="10"/>
      <c r="DH69" s="10"/>
      <c r="DI69" s="10"/>
      <c r="DJ69" s="10"/>
      <c r="DK69" s="11"/>
      <c r="DL69" s="10"/>
      <c r="DM69" s="10"/>
      <c r="DN69" s="10"/>
      <c r="DO69" s="10"/>
      <c r="DP69" s="10"/>
      <c r="DQ69" s="10"/>
      <c r="DR69" s="10"/>
      <c r="DS69" s="10"/>
    </row>
    <row r="70" spans="2:123" s="37" customFormat="1" x14ac:dyDescent="0.2">
      <c r="B70" s="10"/>
      <c r="C70" s="10"/>
      <c r="D70" s="10"/>
      <c r="E70" s="10"/>
      <c r="F70" s="10"/>
      <c r="G70" s="10"/>
      <c r="H70" s="10"/>
      <c r="I70" s="10"/>
      <c r="J70" s="10"/>
      <c r="K70" s="10"/>
      <c r="L70" s="11"/>
      <c r="M70" s="10"/>
      <c r="N70" s="10"/>
      <c r="O70" s="10"/>
      <c r="P70" s="10"/>
      <c r="Q70" s="11"/>
      <c r="R70" s="10"/>
      <c r="S70" s="10"/>
      <c r="T70" s="10"/>
      <c r="U70" s="10"/>
      <c r="V70" s="10"/>
      <c r="W70" s="10"/>
      <c r="X70" s="10"/>
      <c r="Y70" s="10"/>
      <c r="Z70" s="10"/>
      <c r="AA70" s="11"/>
      <c r="AB70" s="10"/>
      <c r="AC70" s="10"/>
      <c r="AD70" s="10"/>
      <c r="AE70" s="10"/>
      <c r="AF70" s="10"/>
      <c r="AG70" s="10"/>
      <c r="AH70" s="10"/>
      <c r="AI70" s="10"/>
      <c r="AJ70" s="11"/>
      <c r="AK70" s="10"/>
      <c r="AL70" s="10"/>
      <c r="AM70" s="10"/>
      <c r="AN70" s="10"/>
      <c r="AO70" s="10"/>
      <c r="AP70" s="10"/>
      <c r="AQ70" s="10"/>
      <c r="AR70" s="10"/>
      <c r="AS70" s="10"/>
      <c r="AT70" s="11"/>
      <c r="AU70" s="10"/>
      <c r="AV70" s="10"/>
      <c r="AW70" s="10"/>
      <c r="AX70" s="10"/>
      <c r="AY70" s="10"/>
      <c r="AZ70" s="11"/>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1"/>
      <c r="BY70" s="10"/>
      <c r="BZ70" s="10"/>
      <c r="CA70" s="10"/>
      <c r="CB70" s="10"/>
      <c r="CC70" s="11"/>
      <c r="CD70" s="10"/>
      <c r="CE70" s="10"/>
      <c r="CF70" s="10"/>
      <c r="CG70" s="10"/>
      <c r="CH70" s="10"/>
      <c r="CI70" s="10"/>
      <c r="CJ70" s="10"/>
      <c r="CK70" s="10"/>
      <c r="CL70" s="26"/>
      <c r="CM70" s="10"/>
      <c r="CN70" s="10"/>
      <c r="CO70" s="10"/>
      <c r="CP70" s="10"/>
      <c r="CQ70" s="11"/>
      <c r="CR70" s="10"/>
      <c r="CS70" s="10"/>
      <c r="CT70" s="10"/>
      <c r="CU70" s="10"/>
      <c r="CV70" s="26"/>
      <c r="CW70" s="10"/>
      <c r="CX70" s="10"/>
      <c r="CY70" s="10"/>
      <c r="CZ70" s="10"/>
      <c r="DA70" s="10"/>
      <c r="DB70" s="10"/>
      <c r="DC70" s="10"/>
      <c r="DD70" s="10"/>
      <c r="DE70" s="10"/>
      <c r="DF70" s="11"/>
      <c r="DG70" s="10"/>
      <c r="DH70" s="10"/>
      <c r="DI70" s="10"/>
      <c r="DJ70" s="10"/>
      <c r="DK70" s="11"/>
      <c r="DL70" s="10"/>
      <c r="DM70" s="10"/>
      <c r="DN70" s="10"/>
      <c r="DO70" s="10"/>
      <c r="DP70" s="10"/>
      <c r="DQ70" s="10"/>
      <c r="DR70" s="10"/>
      <c r="DS70" s="10"/>
    </row>
  </sheetData>
  <autoFilter ref="A2:DS61" xr:uid="{00000000-0009-0000-0000-00000B000000}"/>
  <sortState xmlns:xlrd2="http://schemas.microsoft.com/office/spreadsheetml/2017/richdata2" ref="A3:DS60">
    <sortCondition ref="A3:A60"/>
  </sortState>
  <conditionalFormatting sqref="A3:A59">
    <cfRule type="duplicateValues" dxfId="5" priority="2"/>
    <cfRule type="duplicateValues" dxfId="4" priority="3"/>
  </conditionalFormatting>
  <conditionalFormatting sqref="A60">
    <cfRule type="duplicateValues" dxfId="3" priority="1"/>
  </conditionalFormatting>
  <hyperlinks>
    <hyperlink ref="A1" location="Index!A1" display="Back to Index"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H70"/>
  <sheetViews>
    <sheetView zoomScaleNormal="100" workbookViewId="0">
      <pane xSplit="1" ySplit="2" topLeftCell="B3" activePane="bottomRight" state="frozen"/>
      <selection sqref="A1:B1"/>
      <selection pane="topRight" sqref="A1:B1"/>
      <selection pane="bottomLeft" sqref="A1:B1"/>
      <selection pane="bottomRight" activeCell="B3" sqref="B3"/>
    </sheetView>
  </sheetViews>
  <sheetFormatPr defaultRowHeight="12.75" x14ac:dyDescent="0.2"/>
  <cols>
    <col min="1" max="1" width="13.5703125" style="34" bestFit="1" customWidth="1"/>
    <col min="2" max="29" width="30.7109375" style="35" customWidth="1"/>
    <col min="30" max="30" width="32.7109375" style="35" customWidth="1"/>
    <col min="31" max="31" width="30.7109375" style="35" customWidth="1"/>
    <col min="32" max="37" width="30.7109375" style="45" customWidth="1"/>
    <col min="38" max="92" width="30.7109375" style="35" customWidth="1"/>
    <col min="93" max="93" width="31.7109375" style="35" customWidth="1"/>
    <col min="94" max="112" width="30.7109375" style="35" customWidth="1"/>
    <col min="113" max="16384" width="9.140625" style="34"/>
  </cols>
  <sheetData>
    <row r="1" spans="1:112" s="33" customFormat="1" x14ac:dyDescent="0.2">
      <c r="A1" s="31" t="s">
        <v>969</v>
      </c>
      <c r="B1" s="32" t="s">
        <v>790</v>
      </c>
      <c r="C1" s="32" t="s">
        <v>791</v>
      </c>
      <c r="D1" s="32" t="s">
        <v>792</v>
      </c>
      <c r="E1" s="32" t="s">
        <v>793</v>
      </c>
      <c r="F1" s="32" t="s">
        <v>794</v>
      </c>
      <c r="G1" s="32" t="s">
        <v>795</v>
      </c>
      <c r="H1" s="32" t="s">
        <v>796</v>
      </c>
      <c r="I1" s="32" t="s">
        <v>797</v>
      </c>
      <c r="J1" s="32" t="s">
        <v>798</v>
      </c>
      <c r="K1" s="32" t="s">
        <v>799</v>
      </c>
      <c r="L1" s="32" t="s">
        <v>800</v>
      </c>
      <c r="M1" s="32" t="s">
        <v>801</v>
      </c>
      <c r="N1" s="32" t="s">
        <v>802</v>
      </c>
      <c r="O1" s="32" t="s">
        <v>803</v>
      </c>
      <c r="P1" s="32" t="s">
        <v>804</v>
      </c>
      <c r="Q1" s="32" t="s">
        <v>805</v>
      </c>
      <c r="R1" s="32" t="s">
        <v>806</v>
      </c>
      <c r="S1" s="32" t="s">
        <v>807</v>
      </c>
      <c r="T1" s="32" t="s">
        <v>808</v>
      </c>
      <c r="U1" s="32" t="s">
        <v>809</v>
      </c>
      <c r="V1" s="32" t="s">
        <v>810</v>
      </c>
      <c r="W1" s="32" t="s">
        <v>811</v>
      </c>
      <c r="X1" s="32" t="s">
        <v>812</v>
      </c>
      <c r="Y1" s="32" t="s">
        <v>813</v>
      </c>
      <c r="Z1" s="32" t="s">
        <v>814</v>
      </c>
      <c r="AA1" s="32" t="s">
        <v>815</v>
      </c>
      <c r="AB1" s="32" t="s">
        <v>816</v>
      </c>
      <c r="AC1" s="32" t="s">
        <v>817</v>
      </c>
      <c r="AD1" s="32" t="s">
        <v>818</v>
      </c>
      <c r="AE1" s="32" t="s">
        <v>819</v>
      </c>
      <c r="AF1" s="44" t="s">
        <v>820</v>
      </c>
      <c r="AG1" s="44" t="s">
        <v>821</v>
      </c>
      <c r="AH1" s="44" t="s">
        <v>822</v>
      </c>
      <c r="AI1" s="44" t="s">
        <v>823</v>
      </c>
      <c r="AJ1" s="44" t="s">
        <v>824</v>
      </c>
      <c r="AK1" s="44" t="s">
        <v>825</v>
      </c>
      <c r="AL1" s="32" t="s">
        <v>826</v>
      </c>
      <c r="AM1" s="32" t="s">
        <v>827</v>
      </c>
      <c r="AN1" s="32" t="s">
        <v>828</v>
      </c>
      <c r="AO1" s="32" t="s">
        <v>829</v>
      </c>
      <c r="AP1" s="32" t="s">
        <v>830</v>
      </c>
      <c r="AQ1" s="32" t="s">
        <v>831</v>
      </c>
      <c r="AR1" s="32" t="s">
        <v>832</v>
      </c>
      <c r="AS1" s="32" t="s">
        <v>833</v>
      </c>
      <c r="AT1" s="32" t="s">
        <v>834</v>
      </c>
      <c r="AU1" s="32" t="s">
        <v>835</v>
      </c>
      <c r="AV1" s="32" t="s">
        <v>836</v>
      </c>
      <c r="AW1" s="32" t="s">
        <v>837</v>
      </c>
      <c r="AX1" s="32" t="s">
        <v>838</v>
      </c>
      <c r="AY1" s="32" t="s">
        <v>839</v>
      </c>
      <c r="AZ1" s="32" t="s">
        <v>840</v>
      </c>
      <c r="BA1" s="32" t="s">
        <v>841</v>
      </c>
      <c r="BB1" s="32" t="s">
        <v>842</v>
      </c>
      <c r="BC1" s="32" t="s">
        <v>843</v>
      </c>
      <c r="BD1" s="32" t="s">
        <v>844</v>
      </c>
      <c r="BE1" s="32" t="s">
        <v>845</v>
      </c>
      <c r="BF1" s="32" t="s">
        <v>846</v>
      </c>
      <c r="BG1" s="32" t="s">
        <v>847</v>
      </c>
      <c r="BH1" s="32" t="s">
        <v>848</v>
      </c>
      <c r="BI1" s="32" t="s">
        <v>849</v>
      </c>
      <c r="BJ1" s="32" t="s">
        <v>850</v>
      </c>
      <c r="BK1" s="32" t="s">
        <v>851</v>
      </c>
      <c r="BL1" s="32" t="s">
        <v>852</v>
      </c>
      <c r="BM1" s="32" t="s">
        <v>853</v>
      </c>
      <c r="BN1" s="32" t="s">
        <v>854</v>
      </c>
      <c r="BO1" s="32" t="s">
        <v>855</v>
      </c>
      <c r="BP1" s="32" t="s">
        <v>856</v>
      </c>
      <c r="BQ1" s="32" t="s">
        <v>857</v>
      </c>
      <c r="BR1" s="32" t="s">
        <v>858</v>
      </c>
      <c r="BS1" s="32" t="s">
        <v>859</v>
      </c>
      <c r="BT1" s="32" t="s">
        <v>860</v>
      </c>
      <c r="BU1" s="32" t="s">
        <v>861</v>
      </c>
      <c r="BV1" s="32" t="s">
        <v>862</v>
      </c>
      <c r="BW1" s="32" t="s">
        <v>863</v>
      </c>
      <c r="BX1" s="32" t="s">
        <v>864</v>
      </c>
      <c r="BY1" s="32" t="s">
        <v>865</v>
      </c>
      <c r="BZ1" s="32" t="s">
        <v>866</v>
      </c>
      <c r="CA1" s="32" t="s">
        <v>867</v>
      </c>
      <c r="CB1" s="32" t="s">
        <v>868</v>
      </c>
      <c r="CC1" s="32" t="s">
        <v>869</v>
      </c>
      <c r="CD1" s="32" t="s">
        <v>870</v>
      </c>
      <c r="CE1" s="32" t="s">
        <v>871</v>
      </c>
      <c r="CF1" s="32" t="s">
        <v>872</v>
      </c>
      <c r="CG1" s="32" t="s">
        <v>873</v>
      </c>
      <c r="CH1" s="32" t="s">
        <v>874</v>
      </c>
      <c r="CI1" s="32" t="s">
        <v>875</v>
      </c>
      <c r="CJ1" s="32" t="s">
        <v>876</v>
      </c>
      <c r="CK1" s="32" t="s">
        <v>877</v>
      </c>
      <c r="CL1" s="32" t="s">
        <v>878</v>
      </c>
      <c r="CM1" s="32" t="s">
        <v>879</v>
      </c>
      <c r="CN1" s="32" t="s">
        <v>880</v>
      </c>
      <c r="CO1" s="32" t="s">
        <v>881</v>
      </c>
      <c r="CP1" s="32" t="s">
        <v>882</v>
      </c>
      <c r="CQ1" s="32" t="s">
        <v>883</v>
      </c>
      <c r="CR1" s="32" t="s">
        <v>884</v>
      </c>
      <c r="CS1" s="32" t="s">
        <v>885</v>
      </c>
      <c r="CT1" s="32" t="s">
        <v>886</v>
      </c>
      <c r="CU1" s="32" t="s">
        <v>887</v>
      </c>
      <c r="CV1" s="32" t="s">
        <v>888</v>
      </c>
      <c r="CW1" s="32" t="s">
        <v>889</v>
      </c>
      <c r="CX1" s="32" t="s">
        <v>890</v>
      </c>
      <c r="CY1" s="32" t="s">
        <v>891</v>
      </c>
      <c r="CZ1" s="32" t="s">
        <v>892</v>
      </c>
      <c r="DA1" s="32" t="s">
        <v>893</v>
      </c>
      <c r="DB1" s="32" t="s">
        <v>894</v>
      </c>
      <c r="DC1" s="32" t="s">
        <v>895</v>
      </c>
      <c r="DD1" s="32" t="s">
        <v>896</v>
      </c>
      <c r="DE1" s="32" t="s">
        <v>897</v>
      </c>
      <c r="DF1" s="32" t="s">
        <v>898</v>
      </c>
      <c r="DG1" s="32" t="s">
        <v>899</v>
      </c>
      <c r="DH1" s="32" t="s">
        <v>900</v>
      </c>
    </row>
    <row r="2" spans="1:112" s="33" customFormat="1" ht="76.5" x14ac:dyDescent="0.2">
      <c r="A2" s="33" t="s">
        <v>968</v>
      </c>
      <c r="B2" s="4" t="s">
        <v>3283</v>
      </c>
      <c r="C2" s="4" t="s">
        <v>3284</v>
      </c>
      <c r="D2" s="32" t="s">
        <v>3285</v>
      </c>
      <c r="E2" s="32" t="s">
        <v>3286</v>
      </c>
      <c r="F2" s="4" t="s">
        <v>3287</v>
      </c>
      <c r="G2" s="4" t="s">
        <v>3288</v>
      </c>
      <c r="H2" s="4" t="s">
        <v>3289</v>
      </c>
      <c r="I2" s="4" t="s">
        <v>3290</v>
      </c>
      <c r="J2" s="4" t="s">
        <v>3291</v>
      </c>
      <c r="K2" s="32" t="s">
        <v>3292</v>
      </c>
      <c r="L2" s="4" t="s">
        <v>3490</v>
      </c>
      <c r="M2" s="32" t="s">
        <v>3293</v>
      </c>
      <c r="N2" s="32" t="s">
        <v>3294</v>
      </c>
      <c r="O2" s="4" t="s">
        <v>3295</v>
      </c>
      <c r="P2" s="4" t="s">
        <v>3296</v>
      </c>
      <c r="Q2" s="32" t="s">
        <v>3297</v>
      </c>
      <c r="R2" s="32" t="s">
        <v>3491</v>
      </c>
      <c r="S2" s="4" t="s">
        <v>3298</v>
      </c>
      <c r="T2" s="4" t="s">
        <v>3299</v>
      </c>
      <c r="U2" s="32" t="s">
        <v>3300</v>
      </c>
      <c r="V2" s="32" t="s">
        <v>3492</v>
      </c>
      <c r="W2" s="4" t="s">
        <v>3301</v>
      </c>
      <c r="X2" s="32" t="s">
        <v>3302</v>
      </c>
      <c r="Y2" s="4" t="s">
        <v>3303</v>
      </c>
      <c r="Z2" s="32" t="s">
        <v>3304</v>
      </c>
      <c r="AA2" s="32" t="s">
        <v>3305</v>
      </c>
      <c r="AB2" s="4" t="s">
        <v>3306</v>
      </c>
      <c r="AC2" s="4" t="s">
        <v>3307</v>
      </c>
      <c r="AD2" s="32" t="s">
        <v>3293</v>
      </c>
      <c r="AE2" s="32" t="s">
        <v>3294</v>
      </c>
      <c r="AF2" s="5" t="s">
        <v>3493</v>
      </c>
      <c r="AG2" s="5" t="s">
        <v>3308</v>
      </c>
      <c r="AH2" s="5" t="s">
        <v>3309</v>
      </c>
      <c r="AI2" s="5" t="s">
        <v>3310</v>
      </c>
      <c r="AJ2" s="5" t="s">
        <v>3311</v>
      </c>
      <c r="AK2" s="5" t="s">
        <v>3312</v>
      </c>
      <c r="AL2" s="32" t="s">
        <v>3313</v>
      </c>
      <c r="AM2" s="32" t="s">
        <v>3314</v>
      </c>
      <c r="AN2" s="4" t="s">
        <v>3494</v>
      </c>
      <c r="AO2" s="4" t="s">
        <v>3495</v>
      </c>
      <c r="AP2" s="32" t="s">
        <v>3315</v>
      </c>
      <c r="AQ2" s="32" t="s">
        <v>3496</v>
      </c>
      <c r="AR2" s="4" t="s">
        <v>3316</v>
      </c>
      <c r="AS2" s="4" t="s">
        <v>3317</v>
      </c>
      <c r="AT2" s="4" t="s">
        <v>3318</v>
      </c>
      <c r="AU2" s="4" t="s">
        <v>3319</v>
      </c>
      <c r="AV2" s="4" t="s">
        <v>3320</v>
      </c>
      <c r="AW2" s="4" t="s">
        <v>3321</v>
      </c>
      <c r="AX2" s="32" t="s">
        <v>3322</v>
      </c>
      <c r="AY2" s="32" t="s">
        <v>3323</v>
      </c>
      <c r="AZ2" s="32" t="s">
        <v>3324</v>
      </c>
      <c r="BA2" s="32" t="s">
        <v>3325</v>
      </c>
      <c r="BB2" s="32" t="s">
        <v>3326</v>
      </c>
      <c r="BC2" s="32" t="s">
        <v>3327</v>
      </c>
      <c r="BD2" s="32" t="s">
        <v>3328</v>
      </c>
      <c r="BE2" s="32" t="s">
        <v>3329</v>
      </c>
      <c r="BF2" s="32" t="s">
        <v>3330</v>
      </c>
      <c r="BG2" s="4" t="s">
        <v>3331</v>
      </c>
      <c r="BH2" s="4" t="s">
        <v>3332</v>
      </c>
      <c r="BI2" s="4" t="s">
        <v>3333</v>
      </c>
      <c r="BJ2" s="4" t="s">
        <v>3334</v>
      </c>
      <c r="BK2" s="4" t="s">
        <v>3335</v>
      </c>
      <c r="BL2" s="4" t="s">
        <v>3336</v>
      </c>
      <c r="BM2" s="4" t="s">
        <v>3497</v>
      </c>
      <c r="BN2" s="32" t="s">
        <v>3337</v>
      </c>
      <c r="BO2" s="4" t="s">
        <v>3338</v>
      </c>
      <c r="BP2" s="4" t="s">
        <v>3339</v>
      </c>
      <c r="BQ2" s="4" t="s">
        <v>3340</v>
      </c>
      <c r="BR2" s="32" t="s">
        <v>3341</v>
      </c>
      <c r="BS2" s="32" t="s">
        <v>3342</v>
      </c>
      <c r="BT2" s="32" t="s">
        <v>3343</v>
      </c>
      <c r="BU2" s="32" t="s">
        <v>3344</v>
      </c>
      <c r="BV2" s="32" t="s">
        <v>3345</v>
      </c>
      <c r="BW2" s="32" t="s">
        <v>3346</v>
      </c>
      <c r="BX2" s="32" t="s">
        <v>3498</v>
      </c>
      <c r="BY2" s="4" t="s">
        <v>3347</v>
      </c>
      <c r="BZ2" s="4" t="s">
        <v>3348</v>
      </c>
      <c r="CA2" s="32" t="s">
        <v>3349</v>
      </c>
      <c r="CB2" s="32" t="s">
        <v>3350</v>
      </c>
      <c r="CC2" s="4" t="s">
        <v>3351</v>
      </c>
      <c r="CD2" s="4" t="s">
        <v>3499</v>
      </c>
      <c r="CE2" s="32" t="s">
        <v>3352</v>
      </c>
      <c r="CF2" s="4" t="s">
        <v>3353</v>
      </c>
      <c r="CG2" s="4" t="s">
        <v>3354</v>
      </c>
      <c r="CH2" s="4" t="s">
        <v>3355</v>
      </c>
      <c r="CI2" s="32" t="s">
        <v>3356</v>
      </c>
      <c r="CJ2" s="32" t="s">
        <v>3500</v>
      </c>
      <c r="CK2" s="4" t="s">
        <v>3357</v>
      </c>
      <c r="CL2" s="4" t="s">
        <v>3358</v>
      </c>
      <c r="CM2" s="32" t="s">
        <v>3359</v>
      </c>
      <c r="CN2" s="32" t="s">
        <v>3360</v>
      </c>
      <c r="CO2" s="4" t="s">
        <v>3361</v>
      </c>
      <c r="CP2" s="32" t="s">
        <v>3362</v>
      </c>
      <c r="CQ2" s="4" t="s">
        <v>3363</v>
      </c>
      <c r="CR2" s="4" t="s">
        <v>3501</v>
      </c>
      <c r="CS2" s="32" t="s">
        <v>3364</v>
      </c>
      <c r="CT2" s="4" t="s">
        <v>3365</v>
      </c>
      <c r="CU2" s="4" t="s">
        <v>3366</v>
      </c>
      <c r="CV2" s="32" t="s">
        <v>3367</v>
      </c>
      <c r="CW2" s="4" t="s">
        <v>3368</v>
      </c>
      <c r="CX2" s="32" t="s">
        <v>3369</v>
      </c>
      <c r="CY2" s="32" t="s">
        <v>3370</v>
      </c>
      <c r="CZ2" s="4" t="s">
        <v>3371</v>
      </c>
      <c r="DA2" s="32" t="s">
        <v>3372</v>
      </c>
      <c r="DB2" s="32" t="s">
        <v>3502</v>
      </c>
      <c r="DC2" s="4" t="s">
        <v>3373</v>
      </c>
      <c r="DD2" s="4" t="s">
        <v>3503</v>
      </c>
      <c r="DE2" s="32" t="s">
        <v>3374</v>
      </c>
      <c r="DF2" s="32" t="s">
        <v>3504</v>
      </c>
      <c r="DG2" s="4" t="s">
        <v>3375</v>
      </c>
      <c r="DH2" s="4" t="s">
        <v>3505</v>
      </c>
    </row>
    <row r="3" spans="1:112" ht="51" x14ac:dyDescent="0.2">
      <c r="A3" s="34" t="s">
        <v>922</v>
      </c>
      <c r="B3" s="35" t="s">
        <v>2535</v>
      </c>
      <c r="D3" s="35" t="s">
        <v>2453</v>
      </c>
      <c r="E3" s="35" t="s">
        <v>2536</v>
      </c>
      <c r="G3" s="35" t="s">
        <v>2449</v>
      </c>
      <c r="J3" s="35" t="s">
        <v>2449</v>
      </c>
      <c r="K3" s="35" t="s">
        <v>2537</v>
      </c>
      <c r="M3" s="35" t="s">
        <v>2455</v>
      </c>
      <c r="O3" s="35" t="s">
        <v>976</v>
      </c>
      <c r="Q3" s="35" t="s">
        <v>2464</v>
      </c>
      <c r="S3" s="35" t="s">
        <v>2538</v>
      </c>
      <c r="T3" s="35" t="s">
        <v>2539</v>
      </c>
      <c r="U3" s="35" t="s">
        <v>2531</v>
      </c>
      <c r="W3" s="35" t="s">
        <v>2460</v>
      </c>
      <c r="X3" s="35" t="s">
        <v>2540</v>
      </c>
      <c r="Y3" s="35" t="s">
        <v>976</v>
      </c>
      <c r="Z3" s="35" t="s">
        <v>2469</v>
      </c>
      <c r="AB3" s="35" t="s">
        <v>3861</v>
      </c>
      <c r="AC3" s="35" t="s">
        <v>2541</v>
      </c>
      <c r="AD3" s="35" t="s">
        <v>2533</v>
      </c>
      <c r="AF3" s="45">
        <v>9600</v>
      </c>
      <c r="AG3" s="45">
        <v>9600</v>
      </c>
      <c r="AH3" s="45">
        <v>8700</v>
      </c>
      <c r="AI3" s="45">
        <v>8700</v>
      </c>
      <c r="AJ3" s="45">
        <v>5100</v>
      </c>
      <c r="AK3" s="45">
        <v>5100</v>
      </c>
      <c r="AL3" s="35" t="s">
        <v>2534</v>
      </c>
      <c r="AP3" s="35" t="s">
        <v>2473</v>
      </c>
      <c r="AR3" s="35" t="s">
        <v>2474</v>
      </c>
      <c r="AU3" s="35" t="s">
        <v>2474</v>
      </c>
      <c r="AV3" s="35" t="s">
        <v>2474</v>
      </c>
      <c r="AW3" s="35" t="s">
        <v>2474</v>
      </c>
      <c r="AX3" s="35" t="s">
        <v>2473</v>
      </c>
      <c r="BB3" s="35" t="s">
        <v>2473</v>
      </c>
      <c r="BC3" s="35" t="s">
        <v>2473</v>
      </c>
      <c r="BD3" s="35" t="s">
        <v>2473</v>
      </c>
      <c r="BG3" s="35" t="s">
        <v>2499</v>
      </c>
      <c r="BH3" s="35" t="s">
        <v>2499</v>
      </c>
      <c r="BI3" s="35" t="s">
        <v>2499</v>
      </c>
      <c r="BJ3" s="35" t="s">
        <v>2499</v>
      </c>
      <c r="BK3" s="35" t="s">
        <v>2500</v>
      </c>
      <c r="BL3" s="35" t="s">
        <v>2500</v>
      </c>
      <c r="BR3" s="35" t="s">
        <v>2330</v>
      </c>
      <c r="BS3" s="35" t="s">
        <v>2330</v>
      </c>
      <c r="BT3" s="35" t="s">
        <v>2330</v>
      </c>
      <c r="BU3" s="35" t="s">
        <v>2330</v>
      </c>
      <c r="BV3" s="35" t="s">
        <v>2330</v>
      </c>
      <c r="BW3" s="35" t="s">
        <v>2330</v>
      </c>
      <c r="BY3" s="35" t="s">
        <v>2542</v>
      </c>
      <c r="CA3" s="35" t="s">
        <v>2542</v>
      </c>
      <c r="CC3" s="35" t="s">
        <v>990</v>
      </c>
      <c r="CD3" s="35" t="s">
        <v>2543</v>
      </c>
      <c r="CE3" s="35" t="s">
        <v>2477</v>
      </c>
      <c r="CF3" s="35" t="s">
        <v>976</v>
      </c>
      <c r="DG3" s="35" t="s">
        <v>976</v>
      </c>
    </row>
    <row r="4" spans="1:112" ht="102" x14ac:dyDescent="0.2">
      <c r="A4" s="34" t="s">
        <v>930</v>
      </c>
      <c r="B4" s="35" t="s">
        <v>2568</v>
      </c>
      <c r="D4" s="35" t="s">
        <v>2463</v>
      </c>
      <c r="I4" s="35" t="s">
        <v>2493</v>
      </c>
      <c r="J4" s="35" t="s">
        <v>2493</v>
      </c>
      <c r="K4" s="35" t="s">
        <v>976</v>
      </c>
      <c r="M4" s="35" t="s">
        <v>2504</v>
      </c>
      <c r="Q4" s="35" t="s">
        <v>2457</v>
      </c>
      <c r="S4" s="35" t="s">
        <v>2516</v>
      </c>
      <c r="U4" s="35" t="s">
        <v>2506</v>
      </c>
      <c r="W4" s="35" t="s">
        <v>2507</v>
      </c>
      <c r="X4" s="35" t="s">
        <v>2540</v>
      </c>
      <c r="Y4" s="35" t="s">
        <v>976</v>
      </c>
      <c r="Z4" s="35" t="s">
        <v>990</v>
      </c>
      <c r="AA4" s="35" t="s">
        <v>2569</v>
      </c>
      <c r="AB4" s="35" t="s">
        <v>3862</v>
      </c>
      <c r="AD4" s="35" t="s">
        <v>2570</v>
      </c>
      <c r="AG4" s="45">
        <v>12000</v>
      </c>
      <c r="AH4" s="45">
        <v>12000</v>
      </c>
      <c r="AI4" s="45">
        <v>7000</v>
      </c>
      <c r="AL4" s="35" t="s">
        <v>3872</v>
      </c>
      <c r="DG4" s="35" t="s">
        <v>976</v>
      </c>
    </row>
    <row r="5" spans="1:112" ht="51" x14ac:dyDescent="0.2">
      <c r="A5" s="34" t="s">
        <v>927</v>
      </c>
      <c r="B5" s="35" t="s">
        <v>2554</v>
      </c>
      <c r="D5" s="35" t="s">
        <v>2463</v>
      </c>
      <c r="F5" s="35" t="s">
        <v>2493</v>
      </c>
      <c r="G5" s="35" t="s">
        <v>2449</v>
      </c>
      <c r="I5" s="35" t="s">
        <v>2493</v>
      </c>
      <c r="J5" s="35" t="s">
        <v>2493</v>
      </c>
      <c r="M5" s="35" t="s">
        <v>2555</v>
      </c>
      <c r="Q5" s="35" t="s">
        <v>2544</v>
      </c>
      <c r="U5" s="35" t="s">
        <v>2556</v>
      </c>
      <c r="W5" s="35" t="s">
        <v>2467</v>
      </c>
      <c r="X5" s="35" t="s">
        <v>2557</v>
      </c>
      <c r="Y5" s="35" t="s">
        <v>976</v>
      </c>
      <c r="Z5" s="35" t="s">
        <v>990</v>
      </c>
      <c r="AA5" s="35" t="s">
        <v>2558</v>
      </c>
      <c r="AB5" s="35" t="s">
        <v>990</v>
      </c>
      <c r="AC5" s="35" t="s">
        <v>2558</v>
      </c>
      <c r="AD5" s="35" t="s">
        <v>2559</v>
      </c>
      <c r="AP5" s="35" t="s">
        <v>2473</v>
      </c>
      <c r="BY5" s="35" t="s">
        <v>2556</v>
      </c>
      <c r="CC5" s="35" t="s">
        <v>976</v>
      </c>
      <c r="CE5" s="35" t="s">
        <v>2560</v>
      </c>
      <c r="CF5" s="35" t="s">
        <v>976</v>
      </c>
      <c r="CW5" s="35" t="s">
        <v>976</v>
      </c>
      <c r="DE5" s="35" t="s">
        <v>2529</v>
      </c>
      <c r="DG5" s="35" t="s">
        <v>976</v>
      </c>
    </row>
    <row r="6" spans="1:112" x14ac:dyDescent="0.2">
      <c r="A6" s="34" t="s">
        <v>914</v>
      </c>
      <c r="B6" s="35" t="s">
        <v>2478</v>
      </c>
      <c r="D6" s="35" t="s">
        <v>2479</v>
      </c>
      <c r="K6" s="35" t="s">
        <v>976</v>
      </c>
      <c r="M6" s="35" t="s">
        <v>970</v>
      </c>
      <c r="DG6" s="35" t="s">
        <v>976</v>
      </c>
    </row>
    <row r="7" spans="1:112" ht="25.5" x14ac:dyDescent="0.2">
      <c r="A7" s="34" t="s">
        <v>920</v>
      </c>
      <c r="B7" s="35" t="s">
        <v>2527</v>
      </c>
      <c r="D7" s="35" t="s">
        <v>2453</v>
      </c>
      <c r="J7" s="35" t="s">
        <v>2449</v>
      </c>
      <c r="K7" s="35" t="s">
        <v>976</v>
      </c>
      <c r="L7" s="35" t="s">
        <v>2528</v>
      </c>
      <c r="M7" s="35" t="s">
        <v>2483</v>
      </c>
      <c r="DC7" s="35" t="s">
        <v>977</v>
      </c>
      <c r="DE7" s="35" t="s">
        <v>2529</v>
      </c>
      <c r="DG7" s="35" t="s">
        <v>976</v>
      </c>
    </row>
    <row r="8" spans="1:112" x14ac:dyDescent="0.2">
      <c r="A8" s="34" t="s">
        <v>959</v>
      </c>
      <c r="B8" s="35" t="s">
        <v>2478</v>
      </c>
      <c r="D8" s="35" t="s">
        <v>2453</v>
      </c>
      <c r="M8" s="35" t="s">
        <v>970</v>
      </c>
      <c r="DG8" s="35" t="s">
        <v>976</v>
      </c>
    </row>
    <row r="9" spans="1:112" ht="25.5" x14ac:dyDescent="0.2">
      <c r="A9" s="34" t="s">
        <v>933</v>
      </c>
      <c r="B9" s="35" t="s">
        <v>2568</v>
      </c>
      <c r="D9" s="35" t="s">
        <v>2463</v>
      </c>
      <c r="F9" s="35" t="s">
        <v>2449</v>
      </c>
      <c r="I9" s="35" t="s">
        <v>2449</v>
      </c>
      <c r="K9" s="35" t="s">
        <v>976</v>
      </c>
      <c r="M9" s="35" t="s">
        <v>2450</v>
      </c>
      <c r="CW9" s="35" t="s">
        <v>976</v>
      </c>
      <c r="DG9" s="35" t="s">
        <v>976</v>
      </c>
    </row>
    <row r="10" spans="1:112" ht="63.75" x14ac:dyDescent="0.2">
      <c r="A10" s="34" t="s">
        <v>912</v>
      </c>
      <c r="B10" s="35" t="s">
        <v>2452</v>
      </c>
      <c r="D10" s="35" t="s">
        <v>2453</v>
      </c>
      <c r="F10" s="35" t="s">
        <v>2449</v>
      </c>
      <c r="G10" s="35" t="s">
        <v>2449</v>
      </c>
      <c r="I10" s="35" t="s">
        <v>2449</v>
      </c>
      <c r="J10" s="35" t="s">
        <v>2449</v>
      </c>
      <c r="K10" s="35" t="s">
        <v>2454</v>
      </c>
      <c r="M10" s="35" t="s">
        <v>2455</v>
      </c>
      <c r="O10" s="35" t="s">
        <v>972</v>
      </c>
      <c r="P10" s="35" t="s">
        <v>2456</v>
      </c>
      <c r="Q10" s="35" t="s">
        <v>2457</v>
      </c>
      <c r="U10" s="35" t="s">
        <v>2458</v>
      </c>
      <c r="V10" s="35" t="s">
        <v>2459</v>
      </c>
      <c r="W10" s="35" t="s">
        <v>2460</v>
      </c>
      <c r="AP10" s="35" t="s">
        <v>2461</v>
      </c>
      <c r="DG10" s="35" t="s">
        <v>976</v>
      </c>
    </row>
    <row r="11" spans="1:112" ht="63.75" x14ac:dyDescent="0.2">
      <c r="A11" s="34" t="s">
        <v>936</v>
      </c>
      <c r="B11" s="35" t="s">
        <v>2478</v>
      </c>
      <c r="D11" s="35" t="s">
        <v>2530</v>
      </c>
      <c r="I11" s="35" t="s">
        <v>2493</v>
      </c>
      <c r="J11" s="35" t="s">
        <v>2493</v>
      </c>
      <c r="K11" s="35" t="s">
        <v>976</v>
      </c>
      <c r="M11" s="35" t="s">
        <v>2455</v>
      </c>
      <c r="O11" s="35" t="s">
        <v>972</v>
      </c>
      <c r="P11" s="35" t="s">
        <v>2583</v>
      </c>
      <c r="Q11" s="35" t="s">
        <v>2505</v>
      </c>
      <c r="S11" s="35" t="s">
        <v>2487</v>
      </c>
      <c r="U11" s="35" t="s">
        <v>2556</v>
      </c>
      <c r="W11" s="35" t="s">
        <v>2507</v>
      </c>
      <c r="X11" s="35" t="s">
        <v>2468</v>
      </c>
      <c r="Y11" s="35" t="s">
        <v>976</v>
      </c>
      <c r="Z11" s="35" t="s">
        <v>990</v>
      </c>
      <c r="AA11" s="35" t="s">
        <v>2584</v>
      </c>
      <c r="AB11" s="35" t="s">
        <v>990</v>
      </c>
      <c r="AC11" s="35" t="s">
        <v>2585</v>
      </c>
      <c r="AD11" s="35" t="s">
        <v>3870</v>
      </c>
      <c r="AF11" s="8"/>
      <c r="AG11" s="45">
        <v>10560</v>
      </c>
      <c r="AH11" s="8"/>
      <c r="AI11" s="8">
        <v>7800</v>
      </c>
      <c r="AJ11" s="8"/>
      <c r="AK11" s="45">
        <v>6600</v>
      </c>
      <c r="AL11" s="35" t="s">
        <v>3873</v>
      </c>
      <c r="AP11" s="35" t="s">
        <v>2473</v>
      </c>
      <c r="AR11" s="35" t="s">
        <v>2474</v>
      </c>
      <c r="AU11" s="35" t="s">
        <v>2474</v>
      </c>
      <c r="BG11" s="35" t="s">
        <v>2586</v>
      </c>
      <c r="BH11" s="35" t="s">
        <v>2524</v>
      </c>
      <c r="BI11" s="35" t="s">
        <v>2586</v>
      </c>
      <c r="BJ11" s="35" t="s">
        <v>2499</v>
      </c>
      <c r="BK11" s="35" t="s">
        <v>2586</v>
      </c>
      <c r="BL11" s="35" t="s">
        <v>2500</v>
      </c>
      <c r="BR11" s="35" t="s">
        <v>2587</v>
      </c>
      <c r="BS11" s="35" t="s">
        <v>2330</v>
      </c>
      <c r="BT11" s="35" t="s">
        <v>2587</v>
      </c>
      <c r="BU11" s="35" t="s">
        <v>2330</v>
      </c>
      <c r="BV11" s="35" t="s">
        <v>2587</v>
      </c>
      <c r="BW11" s="35" t="s">
        <v>2330</v>
      </c>
      <c r="BY11" s="35" t="s">
        <v>990</v>
      </c>
      <c r="BZ11" s="35" t="s">
        <v>2588</v>
      </c>
      <c r="CA11" s="35" t="s">
        <v>990</v>
      </c>
      <c r="CB11" s="35" t="s">
        <v>2476</v>
      </c>
      <c r="CC11" s="35" t="s">
        <v>976</v>
      </c>
      <c r="CE11" s="35" t="s">
        <v>2477</v>
      </c>
      <c r="CF11" s="35" t="s">
        <v>976</v>
      </c>
      <c r="DG11" s="35" t="s">
        <v>976</v>
      </c>
    </row>
    <row r="12" spans="1:112" ht="38.25" x14ac:dyDescent="0.2">
      <c r="A12" s="34" t="s">
        <v>911</v>
      </c>
      <c r="B12" s="35" t="s">
        <v>2447</v>
      </c>
      <c r="D12" s="35" t="s">
        <v>2448</v>
      </c>
      <c r="I12" s="35" t="s">
        <v>2449</v>
      </c>
      <c r="J12" s="35" t="s">
        <v>2449</v>
      </c>
      <c r="K12" s="35" t="s">
        <v>976</v>
      </c>
      <c r="M12" s="35" t="s">
        <v>2450</v>
      </c>
      <c r="CW12" s="35" t="s">
        <v>972</v>
      </c>
      <c r="CX12" s="35" t="s">
        <v>990</v>
      </c>
      <c r="CY12" s="35" t="s">
        <v>2451</v>
      </c>
      <c r="CZ12" s="35" t="s">
        <v>972</v>
      </c>
      <c r="DA12" s="35" t="s">
        <v>3875</v>
      </c>
      <c r="DG12" s="35" t="s">
        <v>976</v>
      </c>
    </row>
    <row r="13" spans="1:112" ht="51" x14ac:dyDescent="0.2">
      <c r="A13" s="34" t="s">
        <v>928</v>
      </c>
      <c r="G13" s="35" t="s">
        <v>2449</v>
      </c>
      <c r="I13" s="35" t="s">
        <v>2449</v>
      </c>
      <c r="J13" s="35" t="s">
        <v>2449</v>
      </c>
      <c r="K13" s="35" t="s">
        <v>2537</v>
      </c>
      <c r="M13" s="35" t="s">
        <v>3855</v>
      </c>
      <c r="O13" s="35" t="s">
        <v>976</v>
      </c>
      <c r="Q13" s="35" t="s">
        <v>2464</v>
      </c>
      <c r="S13" s="35" t="s">
        <v>2487</v>
      </c>
      <c r="U13" s="35" t="s">
        <v>2531</v>
      </c>
      <c r="W13" s="35" t="s">
        <v>2467</v>
      </c>
      <c r="X13" s="35" t="s">
        <v>2561</v>
      </c>
      <c r="Y13" s="35" t="s">
        <v>976</v>
      </c>
      <c r="Z13" s="35" t="s">
        <v>2498</v>
      </c>
      <c r="AB13" s="35" t="s">
        <v>3862</v>
      </c>
      <c r="AP13" s="35" t="s">
        <v>2473</v>
      </c>
      <c r="AR13" s="35" t="s">
        <v>2562</v>
      </c>
      <c r="AU13" s="35" t="s">
        <v>2562</v>
      </c>
      <c r="BR13" s="35" t="s">
        <v>2330</v>
      </c>
      <c r="BS13" s="35" t="s">
        <v>2330</v>
      </c>
      <c r="BT13" s="35" t="s">
        <v>2330</v>
      </c>
      <c r="BU13" s="35" t="s">
        <v>2330</v>
      </c>
      <c r="BV13" s="35" t="s">
        <v>2330</v>
      </c>
      <c r="BW13" s="35" t="s">
        <v>2330</v>
      </c>
      <c r="BY13" s="35" t="s">
        <v>990</v>
      </c>
      <c r="BZ13" s="35" t="s">
        <v>2563</v>
      </c>
      <c r="CA13" s="35" t="s">
        <v>990</v>
      </c>
      <c r="CB13" s="35" t="s">
        <v>2563</v>
      </c>
      <c r="DC13" s="35" t="s">
        <v>977</v>
      </c>
      <c r="DE13" s="35" t="s">
        <v>2529</v>
      </c>
      <c r="DG13" s="35" t="s">
        <v>976</v>
      </c>
    </row>
    <row r="14" spans="1:112" x14ac:dyDescent="0.2">
      <c r="A14" s="34" t="s">
        <v>926</v>
      </c>
      <c r="B14" s="35" t="s">
        <v>990</v>
      </c>
      <c r="C14" s="35" t="s">
        <v>2553</v>
      </c>
      <c r="M14" s="35" t="s">
        <v>970</v>
      </c>
      <c r="DG14" s="35" t="s">
        <v>976</v>
      </c>
    </row>
    <row r="15" spans="1:112" ht="102" x14ac:dyDescent="0.2">
      <c r="A15" s="34" t="s">
        <v>948</v>
      </c>
      <c r="B15" s="35" t="s">
        <v>2568</v>
      </c>
      <c r="D15" s="35" t="s">
        <v>2453</v>
      </c>
      <c r="F15" s="35" t="s">
        <v>2482</v>
      </c>
      <c r="G15" s="35" t="s">
        <v>2493</v>
      </c>
      <c r="H15" s="35" t="s">
        <v>2493</v>
      </c>
      <c r="I15" s="35" t="s">
        <v>2493</v>
      </c>
      <c r="J15" s="35" t="s">
        <v>2493</v>
      </c>
      <c r="K15" s="35" t="s">
        <v>976</v>
      </c>
      <c r="M15" s="35" t="s">
        <v>2615</v>
      </c>
      <c r="N15" s="35" t="s">
        <v>2616</v>
      </c>
      <c r="Q15" s="35" t="s">
        <v>2505</v>
      </c>
      <c r="S15" s="35" t="s">
        <v>2487</v>
      </c>
      <c r="U15" s="35" t="s">
        <v>2617</v>
      </c>
      <c r="W15" s="35" t="s">
        <v>2507</v>
      </c>
      <c r="X15" s="35" t="s">
        <v>2468</v>
      </c>
      <c r="Y15" s="35" t="s">
        <v>976</v>
      </c>
      <c r="Z15" s="35" t="s">
        <v>3860</v>
      </c>
      <c r="AA15" s="35" t="s">
        <v>2618</v>
      </c>
      <c r="AB15" s="35" t="s">
        <v>3862</v>
      </c>
      <c r="AD15" s="35" t="s">
        <v>2619</v>
      </c>
      <c r="AF15" s="45">
        <v>11400</v>
      </c>
      <c r="AG15" s="45">
        <v>11400</v>
      </c>
      <c r="AI15" s="45">
        <v>9720</v>
      </c>
      <c r="AK15" s="45">
        <v>8640</v>
      </c>
      <c r="AL15" s="35" t="s">
        <v>2571</v>
      </c>
      <c r="DG15" s="35" t="s">
        <v>976</v>
      </c>
    </row>
    <row r="16" spans="1:112" ht="25.5" x14ac:dyDescent="0.2">
      <c r="A16" s="34" t="s">
        <v>932</v>
      </c>
      <c r="B16" s="35" t="s">
        <v>990</v>
      </c>
      <c r="C16" s="35" t="s">
        <v>2578</v>
      </c>
    </row>
    <row r="17" spans="1:111" ht="51" x14ac:dyDescent="0.2">
      <c r="A17" s="34" t="s">
        <v>941</v>
      </c>
      <c r="B17" s="35" t="s">
        <v>2502</v>
      </c>
      <c r="D17" s="35" t="s">
        <v>2530</v>
      </c>
      <c r="I17" s="35" t="s">
        <v>2449</v>
      </c>
      <c r="J17" s="35" t="s">
        <v>2449</v>
      </c>
      <c r="K17" s="35" t="s">
        <v>976</v>
      </c>
      <c r="L17" s="35" t="s">
        <v>2606</v>
      </c>
      <c r="M17" s="35" t="s">
        <v>2607</v>
      </c>
      <c r="CW17" s="35" t="s">
        <v>972</v>
      </c>
      <c r="CX17" s="35" t="s">
        <v>977</v>
      </c>
      <c r="CZ17" s="35" t="s">
        <v>976</v>
      </c>
      <c r="DA17" s="35" t="s">
        <v>3875</v>
      </c>
      <c r="DC17" s="35" t="s">
        <v>977</v>
      </c>
      <c r="DE17" s="35" t="s">
        <v>990</v>
      </c>
      <c r="DF17" s="35" t="s">
        <v>2608</v>
      </c>
      <c r="DG17" s="35" t="s">
        <v>976</v>
      </c>
    </row>
    <row r="18" spans="1:111" x14ac:dyDescent="0.2">
      <c r="A18" s="34" t="s">
        <v>956</v>
      </c>
      <c r="B18" s="35" t="s">
        <v>2502</v>
      </c>
      <c r="D18" s="35" t="s">
        <v>2479</v>
      </c>
      <c r="K18" s="35" t="s">
        <v>976</v>
      </c>
      <c r="M18" s="35" t="s">
        <v>970</v>
      </c>
      <c r="DG18" s="35" t="s">
        <v>976</v>
      </c>
    </row>
    <row r="19" spans="1:111" ht="38.25" x14ac:dyDescent="0.2">
      <c r="A19" s="34" t="s">
        <v>934</v>
      </c>
      <c r="B19" s="35" t="s">
        <v>2502</v>
      </c>
      <c r="D19" s="35" t="s">
        <v>2453</v>
      </c>
      <c r="K19" s="35" t="s">
        <v>2454</v>
      </c>
      <c r="M19" s="35" t="s">
        <v>2504</v>
      </c>
      <c r="Q19" s="35" t="s">
        <v>2464</v>
      </c>
      <c r="S19" s="35" t="s">
        <v>2465</v>
      </c>
      <c r="U19" s="35" t="s">
        <v>3859</v>
      </c>
      <c r="W19" s="35" t="s">
        <v>2507</v>
      </c>
      <c r="X19" s="35" t="s">
        <v>2557</v>
      </c>
      <c r="Y19" s="35" t="s">
        <v>976</v>
      </c>
      <c r="Z19" s="35" t="s">
        <v>2469</v>
      </c>
      <c r="AB19" s="35" t="s">
        <v>2469</v>
      </c>
      <c r="AD19" s="35" t="s">
        <v>2579</v>
      </c>
      <c r="DG19" s="35" t="s">
        <v>976</v>
      </c>
    </row>
    <row r="20" spans="1:111" ht="38.25" x14ac:dyDescent="0.2">
      <c r="A20" s="34" t="s">
        <v>961</v>
      </c>
      <c r="B20" s="35" t="s">
        <v>2502</v>
      </c>
      <c r="K20" s="35" t="s">
        <v>976</v>
      </c>
      <c r="M20" s="35" t="s">
        <v>2504</v>
      </c>
      <c r="Q20" s="35" t="s">
        <v>2464</v>
      </c>
      <c r="S20" s="35" t="s">
        <v>2487</v>
      </c>
      <c r="U20" s="35" t="s">
        <v>2556</v>
      </c>
      <c r="W20" s="35" t="s">
        <v>2507</v>
      </c>
      <c r="X20" s="35" t="s">
        <v>2468</v>
      </c>
      <c r="Y20" s="35" t="s">
        <v>976</v>
      </c>
      <c r="AD20" s="35" t="s">
        <v>2651</v>
      </c>
      <c r="AL20" s="35" t="s">
        <v>2534</v>
      </c>
      <c r="AN20" s="35" t="s">
        <v>2513</v>
      </c>
      <c r="DG20" s="35" t="s">
        <v>976</v>
      </c>
    </row>
    <row r="21" spans="1:111" ht="51" x14ac:dyDescent="0.2">
      <c r="A21" s="34" t="s">
        <v>939</v>
      </c>
      <c r="B21" s="35" t="s">
        <v>2480</v>
      </c>
      <c r="D21" s="35" t="s">
        <v>2530</v>
      </c>
      <c r="F21" s="35" t="s">
        <v>2482</v>
      </c>
      <c r="G21" s="35" t="s">
        <v>2449</v>
      </c>
      <c r="H21" s="35" t="s">
        <v>2449</v>
      </c>
      <c r="I21" s="35" t="s">
        <v>2493</v>
      </c>
      <c r="J21" s="35" t="s">
        <v>2449</v>
      </c>
      <c r="K21" s="35" t="s">
        <v>976</v>
      </c>
      <c r="M21" s="35" t="s">
        <v>2603</v>
      </c>
      <c r="O21" s="35" t="s">
        <v>976</v>
      </c>
      <c r="Q21" s="35" t="s">
        <v>2464</v>
      </c>
      <c r="S21" s="35" t="s">
        <v>2487</v>
      </c>
      <c r="U21" s="35" t="s">
        <v>2531</v>
      </c>
      <c r="W21" s="35" t="s">
        <v>2467</v>
      </c>
      <c r="X21" s="35" t="s">
        <v>2496</v>
      </c>
      <c r="Y21" s="35" t="s">
        <v>976</v>
      </c>
      <c r="Z21" s="35" t="s">
        <v>2546</v>
      </c>
      <c r="AB21" s="35" t="s">
        <v>3862</v>
      </c>
      <c r="AP21" s="35" t="s">
        <v>2473</v>
      </c>
      <c r="AR21" s="35" t="s">
        <v>2562</v>
      </c>
      <c r="AU21" s="35" t="s">
        <v>2604</v>
      </c>
      <c r="AX21" s="35" t="s">
        <v>2473</v>
      </c>
      <c r="AZ21" s="35" t="s">
        <v>2473</v>
      </c>
      <c r="BB21" s="35" t="s">
        <v>2473</v>
      </c>
      <c r="BC21" s="35" t="s">
        <v>2473</v>
      </c>
      <c r="BD21" s="35" t="s">
        <v>2473</v>
      </c>
      <c r="BG21" s="35" t="s">
        <v>994</v>
      </c>
      <c r="BH21" s="35" t="s">
        <v>994</v>
      </c>
      <c r="BI21" s="35" t="s">
        <v>994</v>
      </c>
      <c r="BJ21" s="35" t="s">
        <v>994</v>
      </c>
      <c r="BK21" s="35" t="s">
        <v>994</v>
      </c>
      <c r="BL21" s="35" t="s">
        <v>994</v>
      </c>
      <c r="BM21" s="35" t="s">
        <v>2605</v>
      </c>
      <c r="BR21" s="35" t="s">
        <v>994</v>
      </c>
      <c r="BS21" s="35" t="s">
        <v>994</v>
      </c>
      <c r="BT21" s="35" t="s">
        <v>994</v>
      </c>
      <c r="BU21" s="35" t="s">
        <v>994</v>
      </c>
      <c r="BV21" s="35" t="s">
        <v>994</v>
      </c>
      <c r="BW21" s="35" t="s">
        <v>994</v>
      </c>
      <c r="BX21" s="35" t="s">
        <v>2201</v>
      </c>
      <c r="BY21" s="35" t="s">
        <v>2556</v>
      </c>
      <c r="CA21" s="35" t="s">
        <v>1143</v>
      </c>
      <c r="CC21" s="35" t="s">
        <v>976</v>
      </c>
      <c r="CE21" s="35" t="s">
        <v>2477</v>
      </c>
      <c r="CF21" s="35" t="s">
        <v>972</v>
      </c>
      <c r="CG21" s="35" t="s">
        <v>990</v>
      </c>
      <c r="CH21" s="35" t="s">
        <v>1368</v>
      </c>
      <c r="DG21" s="35" t="s">
        <v>976</v>
      </c>
    </row>
    <row r="22" spans="1:111" ht="63.75" x14ac:dyDescent="0.2">
      <c r="A22" s="34" t="s">
        <v>938</v>
      </c>
      <c r="B22" s="35" t="s">
        <v>2596</v>
      </c>
      <c r="D22" s="35" t="s">
        <v>2453</v>
      </c>
      <c r="E22" s="35" t="s">
        <v>2580</v>
      </c>
      <c r="F22" s="35" t="s">
        <v>2449</v>
      </c>
      <c r="G22" s="35" t="s">
        <v>2449</v>
      </c>
      <c r="H22" s="35" t="s">
        <v>2449</v>
      </c>
      <c r="I22" s="35" t="s">
        <v>2449</v>
      </c>
      <c r="J22" s="35" t="s">
        <v>2449</v>
      </c>
      <c r="K22" s="35" t="s">
        <v>976</v>
      </c>
      <c r="L22" s="35" t="s">
        <v>2597</v>
      </c>
      <c r="M22" s="35" t="s">
        <v>2598</v>
      </c>
      <c r="Q22" s="35" t="s">
        <v>2505</v>
      </c>
      <c r="S22" s="35" t="s">
        <v>2599</v>
      </c>
      <c r="U22" s="35" t="s">
        <v>2495</v>
      </c>
      <c r="W22" s="35" t="s">
        <v>976</v>
      </c>
      <c r="X22" s="35" t="s">
        <v>2468</v>
      </c>
      <c r="Y22" s="35" t="s">
        <v>976</v>
      </c>
      <c r="Z22" s="35" t="s">
        <v>2600</v>
      </c>
      <c r="AB22" s="35" t="s">
        <v>2469</v>
      </c>
      <c r="AD22" s="35" t="s">
        <v>2520</v>
      </c>
      <c r="AF22" s="45">
        <v>9000</v>
      </c>
      <c r="AG22" s="45">
        <v>8000</v>
      </c>
      <c r="AH22" s="45">
        <v>7000</v>
      </c>
      <c r="AI22" s="45">
        <v>6000</v>
      </c>
      <c r="AL22" s="35" t="s">
        <v>2601</v>
      </c>
      <c r="CS22" s="35" t="s">
        <v>972</v>
      </c>
      <c r="CT22" s="35" t="s">
        <v>977</v>
      </c>
      <c r="CV22" s="35" t="s">
        <v>2602</v>
      </c>
      <c r="DG22" s="35" t="s">
        <v>976</v>
      </c>
    </row>
    <row r="23" spans="1:111" x14ac:dyDescent="0.2">
      <c r="A23" s="34" t="s">
        <v>947</v>
      </c>
      <c r="I23" s="35" t="s">
        <v>2449</v>
      </c>
      <c r="J23" s="35" t="s">
        <v>2449</v>
      </c>
      <c r="K23" s="35" t="s">
        <v>976</v>
      </c>
      <c r="L23" s="35" t="s">
        <v>2614</v>
      </c>
      <c r="M23" s="35" t="s">
        <v>970</v>
      </c>
      <c r="DG23" s="35" t="s">
        <v>976</v>
      </c>
    </row>
    <row r="24" spans="1:111" ht="76.5" x14ac:dyDescent="0.2">
      <c r="A24" s="34" t="s">
        <v>937</v>
      </c>
      <c r="B24" s="35" t="s">
        <v>2535</v>
      </c>
      <c r="D24" s="35" t="s">
        <v>2463</v>
      </c>
      <c r="G24" s="35" t="s">
        <v>2449</v>
      </c>
      <c r="K24" s="35" t="s">
        <v>2537</v>
      </c>
      <c r="M24" s="35" t="s">
        <v>2455</v>
      </c>
      <c r="O24" s="35" t="s">
        <v>976</v>
      </c>
      <c r="Q24" s="35" t="s">
        <v>2589</v>
      </c>
      <c r="S24" s="35" t="s">
        <v>2590</v>
      </c>
      <c r="U24" s="35" t="s">
        <v>2506</v>
      </c>
      <c r="W24" s="35" t="s">
        <v>2467</v>
      </c>
      <c r="X24" s="35" t="s">
        <v>2532</v>
      </c>
      <c r="Y24" s="35" t="s">
        <v>976</v>
      </c>
      <c r="Z24" s="35" t="s">
        <v>990</v>
      </c>
      <c r="AA24" s="35" t="s">
        <v>2591</v>
      </c>
      <c r="AB24" s="35" t="s">
        <v>990</v>
      </c>
      <c r="AC24" s="35" t="s">
        <v>2592</v>
      </c>
      <c r="AD24" s="35" t="s">
        <v>3869</v>
      </c>
      <c r="AF24" s="45">
        <v>10000</v>
      </c>
      <c r="AG24" s="45">
        <v>10000</v>
      </c>
      <c r="AH24" s="45">
        <v>7500</v>
      </c>
      <c r="AI24" s="45">
        <v>5000</v>
      </c>
      <c r="AK24" s="45">
        <v>5000</v>
      </c>
      <c r="AL24" s="35" t="s">
        <v>2471</v>
      </c>
      <c r="AN24" s="35" t="s">
        <v>2593</v>
      </c>
      <c r="AP24" s="35" t="s">
        <v>2461</v>
      </c>
      <c r="AX24" s="35" t="s">
        <v>2461</v>
      </c>
      <c r="BA24" s="35" t="s">
        <v>2473</v>
      </c>
      <c r="BB24" s="35" t="s">
        <v>2473</v>
      </c>
      <c r="BC24" s="35" t="s">
        <v>2473</v>
      </c>
      <c r="BD24" s="35" t="s">
        <v>2473</v>
      </c>
      <c r="BR24" s="35" t="s">
        <v>2330</v>
      </c>
      <c r="BS24" s="35" t="s">
        <v>2330</v>
      </c>
      <c r="BT24" s="35" t="s">
        <v>2330</v>
      </c>
      <c r="BU24" s="35" t="s">
        <v>2330</v>
      </c>
      <c r="BV24" s="35" t="s">
        <v>2330</v>
      </c>
      <c r="BW24" s="35" t="s">
        <v>2330</v>
      </c>
      <c r="BY24" s="35" t="s">
        <v>990</v>
      </c>
      <c r="BZ24" s="35" t="s">
        <v>2594</v>
      </c>
      <c r="CA24" s="35" t="s">
        <v>990</v>
      </c>
      <c r="CB24" s="35" t="s">
        <v>2595</v>
      </c>
      <c r="CC24" s="35" t="s">
        <v>972</v>
      </c>
      <c r="CE24" s="35" t="s">
        <v>2477</v>
      </c>
      <c r="CF24" s="35" t="s">
        <v>976</v>
      </c>
      <c r="DG24" s="35" t="s">
        <v>976</v>
      </c>
    </row>
    <row r="25" spans="1:111" ht="25.5" x14ac:dyDescent="0.2">
      <c r="A25" s="34" t="s">
        <v>949</v>
      </c>
      <c r="B25" s="35" t="s">
        <v>2447</v>
      </c>
      <c r="D25" s="35" t="s">
        <v>2530</v>
      </c>
      <c r="K25" s="35" t="s">
        <v>976</v>
      </c>
      <c r="L25" s="35" t="s">
        <v>970</v>
      </c>
      <c r="M25" s="35" t="s">
        <v>2620</v>
      </c>
      <c r="CS25" s="35" t="s">
        <v>972</v>
      </c>
      <c r="CT25" s="35" t="s">
        <v>977</v>
      </c>
      <c r="CV25" s="35" t="s">
        <v>2621</v>
      </c>
      <c r="DC25" s="35" t="s">
        <v>977</v>
      </c>
      <c r="DE25" s="35" t="s">
        <v>990</v>
      </c>
      <c r="DF25" s="35" t="s">
        <v>2622</v>
      </c>
      <c r="DG25" s="35" t="s">
        <v>976</v>
      </c>
    </row>
    <row r="26" spans="1:111" ht="51" x14ac:dyDescent="0.2">
      <c r="A26" s="34" t="s">
        <v>963</v>
      </c>
      <c r="B26" s="35" t="s">
        <v>2478</v>
      </c>
      <c r="D26" s="35" t="s">
        <v>2453</v>
      </c>
      <c r="E26" s="35" t="s">
        <v>2655</v>
      </c>
      <c r="F26" s="35" t="s">
        <v>2449</v>
      </c>
      <c r="G26" s="35" t="s">
        <v>2449</v>
      </c>
      <c r="K26" s="35" t="s">
        <v>2454</v>
      </c>
      <c r="M26" s="35" t="s">
        <v>2504</v>
      </c>
      <c r="Q26" s="35" t="s">
        <v>3858</v>
      </c>
      <c r="R26" s="35" t="s">
        <v>2656</v>
      </c>
      <c r="S26" s="35" t="s">
        <v>2516</v>
      </c>
      <c r="U26" s="35" t="s">
        <v>990</v>
      </c>
      <c r="V26" s="35" t="s">
        <v>2657</v>
      </c>
      <c r="W26" s="35" t="s">
        <v>2460</v>
      </c>
      <c r="X26" s="35" t="s">
        <v>2540</v>
      </c>
      <c r="Y26" s="35" t="s">
        <v>976</v>
      </c>
      <c r="AB26" s="35" t="s">
        <v>3864</v>
      </c>
      <c r="AC26" s="35" t="s">
        <v>2658</v>
      </c>
      <c r="AD26" s="35" t="s">
        <v>2576</v>
      </c>
      <c r="AF26" s="45">
        <v>13250</v>
      </c>
      <c r="AG26" s="45">
        <v>13250</v>
      </c>
      <c r="AH26" s="45">
        <v>13250</v>
      </c>
      <c r="AI26" s="45">
        <v>7700</v>
      </c>
      <c r="AK26" s="45">
        <v>6700</v>
      </c>
      <c r="AL26" s="35" t="s">
        <v>2471</v>
      </c>
      <c r="DG26" s="35" t="s">
        <v>976</v>
      </c>
    </row>
    <row r="27" spans="1:111" ht="25.5" x14ac:dyDescent="0.2">
      <c r="A27" s="34" t="s">
        <v>913</v>
      </c>
      <c r="B27" s="35" t="s">
        <v>2462</v>
      </c>
      <c r="D27" s="35" t="s">
        <v>2463</v>
      </c>
      <c r="G27" s="35" t="s">
        <v>2449</v>
      </c>
      <c r="H27" s="35" t="s">
        <v>2449</v>
      </c>
      <c r="K27" s="35" t="s">
        <v>976</v>
      </c>
      <c r="M27" s="35" t="s">
        <v>2455</v>
      </c>
      <c r="O27" s="35" t="s">
        <v>976</v>
      </c>
      <c r="Q27" s="35" t="s">
        <v>2464</v>
      </c>
      <c r="S27" s="35" t="s">
        <v>2465</v>
      </c>
      <c r="U27" s="35" t="s">
        <v>2466</v>
      </c>
      <c r="W27" s="35" t="s">
        <v>2467</v>
      </c>
      <c r="X27" s="35" t="s">
        <v>2468</v>
      </c>
      <c r="Y27" s="35" t="s">
        <v>976</v>
      </c>
      <c r="Z27" s="35" t="s">
        <v>2469</v>
      </c>
      <c r="AB27" s="35" t="s">
        <v>3861</v>
      </c>
      <c r="AC27" s="35" t="s">
        <v>2470</v>
      </c>
      <c r="AD27" s="35" t="s">
        <v>3868</v>
      </c>
      <c r="AL27" s="35" t="s">
        <v>2471</v>
      </c>
      <c r="AN27" s="35" t="s">
        <v>2472</v>
      </c>
      <c r="AP27" s="35" t="s">
        <v>2473</v>
      </c>
      <c r="AR27" s="35" t="s">
        <v>2474</v>
      </c>
      <c r="AS27" s="35" t="s">
        <v>2475</v>
      </c>
      <c r="AT27" s="35" t="s">
        <v>2475</v>
      </c>
      <c r="AX27" s="35" t="s">
        <v>2473</v>
      </c>
      <c r="BB27" s="35" t="s">
        <v>2473</v>
      </c>
      <c r="BC27" s="35" t="s">
        <v>2473</v>
      </c>
      <c r="BR27" s="35" t="s">
        <v>994</v>
      </c>
      <c r="BS27" s="35" t="s">
        <v>994</v>
      </c>
      <c r="BT27" s="35" t="s">
        <v>994</v>
      </c>
      <c r="BU27" s="35" t="s">
        <v>994</v>
      </c>
      <c r="BV27" s="35" t="s">
        <v>994</v>
      </c>
      <c r="BW27" s="35" t="s">
        <v>994</v>
      </c>
      <c r="BX27" s="35" t="s">
        <v>2201</v>
      </c>
      <c r="BY27" s="35" t="s">
        <v>990</v>
      </c>
      <c r="BZ27" s="35" t="s">
        <v>2476</v>
      </c>
      <c r="CA27" s="35" t="s">
        <v>990</v>
      </c>
      <c r="CB27" s="35" t="s">
        <v>2476</v>
      </c>
      <c r="CC27" s="35" t="s">
        <v>972</v>
      </c>
      <c r="CE27" s="35" t="s">
        <v>2477</v>
      </c>
      <c r="CF27" s="35" t="s">
        <v>976</v>
      </c>
      <c r="DG27" s="35" t="s">
        <v>976</v>
      </c>
    </row>
    <row r="28" spans="1:111" ht="51" x14ac:dyDescent="0.2">
      <c r="A28" s="34" t="s">
        <v>931</v>
      </c>
      <c r="B28" s="35" t="s">
        <v>990</v>
      </c>
      <c r="C28" s="35" t="s">
        <v>2572</v>
      </c>
      <c r="D28" s="35" t="s">
        <v>2479</v>
      </c>
      <c r="F28" s="35" t="s">
        <v>2449</v>
      </c>
      <c r="I28" s="35" t="s">
        <v>2493</v>
      </c>
      <c r="J28" s="35" t="s">
        <v>2493</v>
      </c>
      <c r="K28" s="35" t="s">
        <v>976</v>
      </c>
      <c r="L28" s="35" t="s">
        <v>2573</v>
      </c>
      <c r="M28" s="35" t="s">
        <v>2504</v>
      </c>
      <c r="Q28" s="35" t="s">
        <v>2505</v>
      </c>
      <c r="S28" s="35" t="s">
        <v>2487</v>
      </c>
      <c r="U28" s="35" t="s">
        <v>990</v>
      </c>
      <c r="V28" s="35" t="s">
        <v>2574</v>
      </c>
      <c r="W28" s="35" t="s">
        <v>2507</v>
      </c>
      <c r="X28" s="35" t="s">
        <v>2540</v>
      </c>
      <c r="Y28" s="35" t="s">
        <v>976</v>
      </c>
      <c r="Z28" s="35" t="s">
        <v>990</v>
      </c>
      <c r="AA28" s="35" t="s">
        <v>2575</v>
      </c>
      <c r="AD28" s="35" t="s">
        <v>2576</v>
      </c>
      <c r="AF28" s="45">
        <v>12000</v>
      </c>
      <c r="AG28" s="45">
        <v>12000</v>
      </c>
      <c r="AH28" s="45">
        <v>9000</v>
      </c>
      <c r="AI28" s="45">
        <v>9000</v>
      </c>
      <c r="AJ28" s="45">
        <v>7200</v>
      </c>
      <c r="AK28" s="45">
        <v>7200</v>
      </c>
      <c r="AL28" s="35" t="s">
        <v>2577</v>
      </c>
      <c r="DG28" s="35" t="s">
        <v>976</v>
      </c>
    </row>
    <row r="29" spans="1:111" ht="25.5" x14ac:dyDescent="0.2">
      <c r="A29" s="34" t="s">
        <v>966</v>
      </c>
      <c r="B29" s="35" t="s">
        <v>2478</v>
      </c>
      <c r="D29" s="35" t="s">
        <v>2453</v>
      </c>
      <c r="E29" s="35" t="s">
        <v>3853</v>
      </c>
      <c r="K29" s="35" t="s">
        <v>2537</v>
      </c>
      <c r="L29" s="35" t="s">
        <v>3854</v>
      </c>
      <c r="M29" s="35" t="s">
        <v>970</v>
      </c>
      <c r="DG29" s="35" t="s">
        <v>976</v>
      </c>
    </row>
    <row r="30" spans="1:111" ht="51" x14ac:dyDescent="0.2">
      <c r="A30" s="34" t="s">
        <v>917</v>
      </c>
      <c r="B30" s="35" t="s">
        <v>2492</v>
      </c>
      <c r="F30" s="35" t="s">
        <v>2493</v>
      </c>
      <c r="G30" s="35" t="s">
        <v>2493</v>
      </c>
      <c r="H30" s="35" t="s">
        <v>2493</v>
      </c>
      <c r="I30" s="35" t="s">
        <v>2493</v>
      </c>
      <c r="J30" s="35" t="s">
        <v>2493</v>
      </c>
      <c r="K30" s="35" t="s">
        <v>2454</v>
      </c>
      <c r="M30" s="35" t="s">
        <v>2455</v>
      </c>
      <c r="O30" s="35" t="s">
        <v>972</v>
      </c>
      <c r="P30" s="35" t="s">
        <v>2494</v>
      </c>
      <c r="Q30" s="35" t="s">
        <v>2464</v>
      </c>
      <c r="S30" s="35" t="s">
        <v>2465</v>
      </c>
      <c r="U30" s="35" t="s">
        <v>2495</v>
      </c>
      <c r="W30" s="35" t="s">
        <v>2467</v>
      </c>
      <c r="X30" s="35" t="s">
        <v>2496</v>
      </c>
      <c r="Y30" s="35" t="s">
        <v>976</v>
      </c>
      <c r="Z30" s="35" t="s">
        <v>3863</v>
      </c>
      <c r="AB30" s="35" t="s">
        <v>3862</v>
      </c>
      <c r="AD30" s="35" t="s">
        <v>3867</v>
      </c>
      <c r="AF30" s="45">
        <v>12360</v>
      </c>
      <c r="AG30" s="45">
        <v>8400</v>
      </c>
      <c r="AH30" s="45">
        <v>6492</v>
      </c>
      <c r="AI30" s="45">
        <v>6492</v>
      </c>
      <c r="AJ30" s="45">
        <v>6000</v>
      </c>
      <c r="AK30" s="45">
        <v>6000</v>
      </c>
      <c r="AL30" s="35" t="s">
        <v>2471</v>
      </c>
      <c r="AP30" s="35" t="s">
        <v>2473</v>
      </c>
      <c r="AR30" s="35" t="s">
        <v>2474</v>
      </c>
      <c r="AS30" s="35" t="s">
        <v>2475</v>
      </c>
      <c r="AT30" s="35" t="s">
        <v>2475</v>
      </c>
      <c r="AU30" s="35" t="s">
        <v>2474</v>
      </c>
      <c r="AV30" s="35" t="s">
        <v>2475</v>
      </c>
      <c r="AW30" s="35" t="s">
        <v>2475</v>
      </c>
      <c r="AX30" s="35" t="s">
        <v>2461</v>
      </c>
      <c r="AY30" s="35" t="s">
        <v>2461</v>
      </c>
      <c r="BB30" s="35" t="s">
        <v>2461</v>
      </c>
      <c r="BC30" s="35" t="s">
        <v>2461</v>
      </c>
      <c r="BD30" s="35" t="s">
        <v>2461</v>
      </c>
      <c r="BG30" s="35" t="s">
        <v>2499</v>
      </c>
      <c r="BI30" s="35" t="s">
        <v>2500</v>
      </c>
      <c r="BJ30" s="35" t="s">
        <v>2500</v>
      </c>
      <c r="BK30" s="35" t="s">
        <v>2501</v>
      </c>
      <c r="BR30" s="35" t="s">
        <v>994</v>
      </c>
      <c r="BS30" s="35" t="s">
        <v>994</v>
      </c>
      <c r="BT30" s="35" t="s">
        <v>994</v>
      </c>
      <c r="BU30" s="35" t="s">
        <v>994</v>
      </c>
      <c r="BV30" s="35" t="s">
        <v>994</v>
      </c>
      <c r="BW30" s="35" t="s">
        <v>994</v>
      </c>
      <c r="BX30" s="35">
        <v>4</v>
      </c>
      <c r="BY30" s="35" t="s">
        <v>990</v>
      </c>
      <c r="BZ30" s="35" t="s">
        <v>2502</v>
      </c>
      <c r="CA30" s="35" t="s">
        <v>990</v>
      </c>
      <c r="CB30" s="35" t="s">
        <v>2502</v>
      </c>
      <c r="CC30" s="35" t="s">
        <v>976</v>
      </c>
      <c r="CE30" s="35" t="s">
        <v>2477</v>
      </c>
      <c r="CF30" s="35" t="s">
        <v>976</v>
      </c>
      <c r="DG30" s="35" t="s">
        <v>976</v>
      </c>
    </row>
    <row r="31" spans="1:111" ht="25.5" x14ac:dyDescent="0.2">
      <c r="A31" s="34" t="s">
        <v>923</v>
      </c>
      <c r="B31" s="35" t="s">
        <v>2492</v>
      </c>
      <c r="D31" s="35" t="s">
        <v>2530</v>
      </c>
      <c r="F31" s="35" t="s">
        <v>2449</v>
      </c>
      <c r="I31" s="35" t="s">
        <v>2449</v>
      </c>
      <c r="J31" s="35" t="s">
        <v>2449</v>
      </c>
      <c r="K31" s="35" t="s">
        <v>976</v>
      </c>
      <c r="M31" s="35" t="s">
        <v>2504</v>
      </c>
      <c r="Q31" s="35" t="s">
        <v>2544</v>
      </c>
      <c r="S31" s="35" t="s">
        <v>990</v>
      </c>
      <c r="T31" s="35" t="s">
        <v>2545</v>
      </c>
      <c r="U31" s="35" t="s">
        <v>2506</v>
      </c>
      <c r="W31" s="35" t="s">
        <v>2507</v>
      </c>
      <c r="X31" s="35" t="s">
        <v>2468</v>
      </c>
      <c r="Y31" s="35" t="s">
        <v>976</v>
      </c>
      <c r="Z31" s="35" t="s">
        <v>2546</v>
      </c>
      <c r="AB31" s="35" t="s">
        <v>2546</v>
      </c>
      <c r="AD31" s="35" t="s">
        <v>2490</v>
      </c>
      <c r="DG31" s="35" t="s">
        <v>976</v>
      </c>
    </row>
    <row r="32" spans="1:111" ht="25.5" x14ac:dyDescent="0.2">
      <c r="A32" s="34" t="s">
        <v>935</v>
      </c>
      <c r="B32" s="35" t="s">
        <v>2535</v>
      </c>
      <c r="D32" s="35" t="s">
        <v>2453</v>
      </c>
      <c r="E32" s="35" t="s">
        <v>2580</v>
      </c>
      <c r="K32" s="35" t="s">
        <v>2454</v>
      </c>
      <c r="M32" s="35" t="s">
        <v>2504</v>
      </c>
      <c r="Q32" s="35" t="s">
        <v>2486</v>
      </c>
      <c r="S32" s="35" t="s">
        <v>990</v>
      </c>
      <c r="T32" s="35" t="s">
        <v>2581</v>
      </c>
      <c r="U32" s="35" t="s">
        <v>990</v>
      </c>
      <c r="V32" s="35" t="s">
        <v>2582</v>
      </c>
      <c r="W32" s="35" t="s">
        <v>2507</v>
      </c>
      <c r="AL32" s="35" t="s">
        <v>2471</v>
      </c>
      <c r="DG32" s="35" t="s">
        <v>976</v>
      </c>
    </row>
    <row r="33" spans="1:112" ht="25.5" x14ac:dyDescent="0.2">
      <c r="A33" s="34" t="s">
        <v>915</v>
      </c>
      <c r="B33" s="35" t="s">
        <v>2480</v>
      </c>
      <c r="D33" s="35" t="s">
        <v>2453</v>
      </c>
      <c r="E33" s="35" t="s">
        <v>2481</v>
      </c>
      <c r="I33" s="35" t="s">
        <v>2482</v>
      </c>
      <c r="J33" s="35" t="s">
        <v>2449</v>
      </c>
      <c r="K33" s="35" t="s">
        <v>976</v>
      </c>
      <c r="M33" s="35" t="s">
        <v>2483</v>
      </c>
      <c r="DC33" s="35" t="s">
        <v>977</v>
      </c>
      <c r="DE33" s="35" t="s">
        <v>990</v>
      </c>
      <c r="DF33" s="35" t="s">
        <v>2484</v>
      </c>
      <c r="DG33" s="35" t="s">
        <v>976</v>
      </c>
    </row>
    <row r="34" spans="1:112" ht="25.5" x14ac:dyDescent="0.2">
      <c r="A34" s="34" t="s">
        <v>945</v>
      </c>
      <c r="B34" s="35" t="s">
        <v>2478</v>
      </c>
      <c r="D34" s="35" t="s">
        <v>2453</v>
      </c>
      <c r="I34" s="35" t="s">
        <v>2449</v>
      </c>
      <c r="K34" s="35" t="s">
        <v>2454</v>
      </c>
      <c r="M34" s="35" t="s">
        <v>2504</v>
      </c>
      <c r="Q34" s="35" t="s">
        <v>990</v>
      </c>
      <c r="R34" s="35" t="s">
        <v>2613</v>
      </c>
      <c r="U34" s="35" t="s">
        <v>990</v>
      </c>
      <c r="V34" s="35" t="s">
        <v>1025</v>
      </c>
      <c r="W34" s="35" t="s">
        <v>2507</v>
      </c>
      <c r="X34" s="35" t="s">
        <v>2557</v>
      </c>
      <c r="Y34" s="35" t="s">
        <v>976</v>
      </c>
      <c r="Z34" s="35" t="s">
        <v>2469</v>
      </c>
      <c r="AB34" s="35" t="s">
        <v>2469</v>
      </c>
    </row>
    <row r="35" spans="1:112" ht="38.25" x14ac:dyDescent="0.2">
      <c r="A35" s="34" t="s">
        <v>924</v>
      </c>
      <c r="B35" s="35" t="s">
        <v>990</v>
      </c>
      <c r="C35" s="35" t="s">
        <v>2547</v>
      </c>
      <c r="D35" s="35" t="s">
        <v>2453</v>
      </c>
      <c r="K35" s="35" t="s">
        <v>976</v>
      </c>
      <c r="L35" s="35" t="s">
        <v>2548</v>
      </c>
      <c r="M35" s="35" t="s">
        <v>990</v>
      </c>
      <c r="N35" s="35" t="s">
        <v>2549</v>
      </c>
      <c r="DG35" s="35" t="s">
        <v>976</v>
      </c>
    </row>
    <row r="36" spans="1:112" ht="38.25" x14ac:dyDescent="0.2">
      <c r="A36" s="34" t="s">
        <v>925</v>
      </c>
      <c r="K36" s="35" t="s">
        <v>976</v>
      </c>
      <c r="M36" s="35" t="s">
        <v>2504</v>
      </c>
      <c r="Q36" s="35" t="s">
        <v>2544</v>
      </c>
      <c r="S36" s="35" t="s">
        <v>2487</v>
      </c>
      <c r="W36" s="35" t="s">
        <v>2507</v>
      </c>
      <c r="X36" s="35" t="s">
        <v>2468</v>
      </c>
      <c r="Y36" s="35" t="s">
        <v>976</v>
      </c>
      <c r="Z36" s="35" t="s">
        <v>2550</v>
      </c>
      <c r="AA36" s="35" t="s">
        <v>2551</v>
      </c>
      <c r="AB36" s="35" t="s">
        <v>2552</v>
      </c>
      <c r="AF36" s="45">
        <v>8100</v>
      </c>
      <c r="AG36" s="45">
        <v>7800</v>
      </c>
      <c r="AI36" s="45">
        <v>7800</v>
      </c>
      <c r="AJ36" s="45">
        <v>7080</v>
      </c>
      <c r="AK36" s="45">
        <v>7080</v>
      </c>
      <c r="AL36" s="35" t="s">
        <v>2534</v>
      </c>
      <c r="DG36" s="35" t="s">
        <v>976</v>
      </c>
    </row>
    <row r="37" spans="1:112" ht="89.25" x14ac:dyDescent="0.2">
      <c r="A37" s="34" t="s">
        <v>3376</v>
      </c>
      <c r="B37" s="36"/>
      <c r="C37" s="36"/>
      <c r="D37" s="36"/>
      <c r="E37" s="36"/>
      <c r="F37" s="36"/>
      <c r="G37" s="36"/>
      <c r="H37" s="36"/>
      <c r="I37" s="36"/>
      <c r="J37" s="36"/>
      <c r="K37" s="36"/>
      <c r="L37" s="36"/>
      <c r="M37" s="36" t="s">
        <v>2504</v>
      </c>
      <c r="N37" s="36"/>
      <c r="O37" s="36"/>
      <c r="P37" s="36"/>
      <c r="Q37" s="36" t="s">
        <v>2638</v>
      </c>
      <c r="R37" s="36"/>
      <c r="S37" s="36" t="s">
        <v>2465</v>
      </c>
      <c r="T37" s="36"/>
      <c r="U37" s="36" t="s">
        <v>2556</v>
      </c>
      <c r="V37" s="36"/>
      <c r="W37" s="36" t="s">
        <v>2507</v>
      </c>
      <c r="X37" s="36" t="s">
        <v>2540</v>
      </c>
      <c r="Y37" s="36" t="s">
        <v>976</v>
      </c>
      <c r="Z37" s="36" t="s">
        <v>2498</v>
      </c>
      <c r="AA37" s="36"/>
      <c r="AB37" s="36" t="s">
        <v>3866</v>
      </c>
      <c r="AC37" s="36"/>
      <c r="AD37" s="36" t="s">
        <v>2520</v>
      </c>
      <c r="AE37" s="36"/>
      <c r="AF37" s="46"/>
      <c r="AG37" s="46"/>
      <c r="AH37" s="46"/>
      <c r="AI37" s="46"/>
      <c r="AJ37" s="46"/>
      <c r="AK37" s="46"/>
      <c r="AL37" s="36" t="s">
        <v>3871</v>
      </c>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t="s">
        <v>976</v>
      </c>
      <c r="DH37" s="36"/>
    </row>
    <row r="38" spans="1:112" ht="38.25" x14ac:dyDescent="0.2">
      <c r="A38" s="34" t="s">
        <v>952</v>
      </c>
      <c r="B38" s="35" t="s">
        <v>990</v>
      </c>
      <c r="C38" s="35" t="s">
        <v>2636</v>
      </c>
      <c r="D38" s="35" t="s">
        <v>2479</v>
      </c>
      <c r="M38" s="35" t="s">
        <v>2504</v>
      </c>
      <c r="Q38" s="35" t="s">
        <v>2464</v>
      </c>
      <c r="S38" s="35" t="s">
        <v>2487</v>
      </c>
      <c r="U38" s="35" t="s">
        <v>2531</v>
      </c>
      <c r="W38" s="35" t="s">
        <v>2507</v>
      </c>
      <c r="X38" s="35" t="s">
        <v>2468</v>
      </c>
      <c r="Y38" s="35" t="s">
        <v>976</v>
      </c>
      <c r="Z38" s="35" t="s">
        <v>2469</v>
      </c>
      <c r="AB38" s="35" t="s">
        <v>3862</v>
      </c>
      <c r="AD38" s="35" t="s">
        <v>2637</v>
      </c>
      <c r="AF38" s="45">
        <v>9600</v>
      </c>
      <c r="AG38" s="45">
        <v>9600</v>
      </c>
      <c r="AH38" s="45">
        <v>9600</v>
      </c>
      <c r="AI38" s="45">
        <v>8400</v>
      </c>
      <c r="AJ38" s="45">
        <v>8400</v>
      </c>
      <c r="AK38" s="45">
        <v>8400</v>
      </c>
      <c r="AL38" s="35" t="s">
        <v>2638</v>
      </c>
      <c r="DG38" s="35" t="s">
        <v>976</v>
      </c>
    </row>
    <row r="39" spans="1:112" ht="38.25" x14ac:dyDescent="0.2">
      <c r="A39" s="34" t="s">
        <v>921</v>
      </c>
      <c r="B39" s="35" t="s">
        <v>2480</v>
      </c>
      <c r="D39" s="35" t="s">
        <v>2530</v>
      </c>
      <c r="M39" s="35" t="s">
        <v>2504</v>
      </c>
      <c r="Q39" s="35" t="s">
        <v>2457</v>
      </c>
      <c r="S39" s="35" t="s">
        <v>2487</v>
      </c>
      <c r="U39" s="35" t="s">
        <v>2531</v>
      </c>
      <c r="W39" s="35" t="s">
        <v>976</v>
      </c>
      <c r="X39" s="35" t="s">
        <v>2532</v>
      </c>
      <c r="Z39" s="35" t="s">
        <v>3862</v>
      </c>
      <c r="AB39" s="35" t="s">
        <v>3862</v>
      </c>
      <c r="AD39" s="35" t="s">
        <v>2533</v>
      </c>
      <c r="AF39" s="45">
        <v>1000</v>
      </c>
      <c r="AG39" s="45">
        <v>1000</v>
      </c>
      <c r="AH39" s="45">
        <v>1000</v>
      </c>
      <c r="AI39" s="45">
        <v>875</v>
      </c>
      <c r="AJ39" s="45">
        <v>600</v>
      </c>
      <c r="AK39" s="45">
        <v>600</v>
      </c>
      <c r="AL39" s="35" t="s">
        <v>2534</v>
      </c>
      <c r="DG39" s="35" t="s">
        <v>976</v>
      </c>
    </row>
    <row r="40" spans="1:112" ht="76.5" x14ac:dyDescent="0.2">
      <c r="A40" s="34" t="s">
        <v>958</v>
      </c>
      <c r="B40" s="35" t="s">
        <v>2568</v>
      </c>
      <c r="D40" s="35" t="s">
        <v>2453</v>
      </c>
      <c r="J40" s="35" t="s">
        <v>2449</v>
      </c>
      <c r="K40" s="35" t="s">
        <v>976</v>
      </c>
      <c r="L40" s="35" t="s">
        <v>2646</v>
      </c>
      <c r="M40" s="35" t="s">
        <v>2504</v>
      </c>
      <c r="Q40" s="35" t="s">
        <v>2464</v>
      </c>
      <c r="S40" s="35" t="s">
        <v>2647</v>
      </c>
      <c r="U40" s="35" t="s">
        <v>2648</v>
      </c>
      <c r="W40" s="35" t="s">
        <v>2507</v>
      </c>
      <c r="X40" s="35" t="s">
        <v>2540</v>
      </c>
      <c r="Y40" s="35" t="s">
        <v>976</v>
      </c>
      <c r="Z40" s="35" t="s">
        <v>2546</v>
      </c>
      <c r="AB40" s="35" t="s">
        <v>3865</v>
      </c>
      <c r="AD40" s="35" t="s">
        <v>2490</v>
      </c>
      <c r="AF40" s="45">
        <v>9360</v>
      </c>
      <c r="AG40" s="45">
        <v>9360</v>
      </c>
      <c r="AH40" s="45">
        <v>7800</v>
      </c>
      <c r="AI40" s="45">
        <v>7800</v>
      </c>
      <c r="AJ40" s="45">
        <v>6528</v>
      </c>
      <c r="AK40" s="45">
        <v>5400</v>
      </c>
      <c r="AL40" s="35" t="s">
        <v>2649</v>
      </c>
      <c r="AN40" s="35" t="s">
        <v>2513</v>
      </c>
      <c r="DG40" s="35" t="s">
        <v>976</v>
      </c>
    </row>
    <row r="41" spans="1:112" ht="63.75" x14ac:dyDescent="0.2">
      <c r="A41" s="34" t="s">
        <v>962</v>
      </c>
      <c r="B41" s="35" t="s">
        <v>2476</v>
      </c>
      <c r="D41" s="35" t="s">
        <v>2530</v>
      </c>
      <c r="F41" s="35" t="s">
        <v>2449</v>
      </c>
      <c r="I41" s="35" t="s">
        <v>2449</v>
      </c>
      <c r="J41" s="35" t="s">
        <v>2449</v>
      </c>
      <c r="K41" s="35" t="s">
        <v>2537</v>
      </c>
      <c r="M41" s="35" t="s">
        <v>2652</v>
      </c>
      <c r="Q41" s="35" t="s">
        <v>2505</v>
      </c>
      <c r="W41" s="35" t="s">
        <v>976</v>
      </c>
      <c r="X41" s="35" t="s">
        <v>2557</v>
      </c>
      <c r="Y41" s="35" t="s">
        <v>1023</v>
      </c>
      <c r="Z41" s="35" t="s">
        <v>3862</v>
      </c>
      <c r="AB41" s="35" t="s">
        <v>3862</v>
      </c>
      <c r="AD41" s="35" t="s">
        <v>2653</v>
      </c>
      <c r="AL41" s="35" t="s">
        <v>2638</v>
      </c>
      <c r="CO41" s="35" t="s">
        <v>972</v>
      </c>
      <c r="CP41" s="35" t="s">
        <v>972</v>
      </c>
      <c r="CQ41" s="35" t="s">
        <v>2654</v>
      </c>
      <c r="DG41" s="35" t="s">
        <v>976</v>
      </c>
    </row>
    <row r="42" spans="1:112" ht="25.5" x14ac:dyDescent="0.2">
      <c r="A42" s="34" t="s">
        <v>957</v>
      </c>
      <c r="B42" s="35" t="s">
        <v>2644</v>
      </c>
      <c r="C42" s="35" t="s">
        <v>2636</v>
      </c>
      <c r="D42" s="35" t="s">
        <v>2530</v>
      </c>
      <c r="I42" s="35" t="s">
        <v>2449</v>
      </c>
      <c r="J42" s="35" t="s">
        <v>2449</v>
      </c>
      <c r="K42" s="35" t="s">
        <v>976</v>
      </c>
      <c r="L42" s="35" t="s">
        <v>2645</v>
      </c>
      <c r="M42" s="35" t="s">
        <v>970</v>
      </c>
      <c r="DG42" s="35" t="s">
        <v>976</v>
      </c>
    </row>
    <row r="43" spans="1:112" ht="38.25" x14ac:dyDescent="0.2">
      <c r="A43" s="34" t="s">
        <v>918</v>
      </c>
      <c r="B43" s="35" t="s">
        <v>2478</v>
      </c>
      <c r="D43" s="35" t="s">
        <v>2453</v>
      </c>
      <c r="E43" s="35" t="s">
        <v>2481</v>
      </c>
      <c r="F43" s="35" t="s">
        <v>2449</v>
      </c>
      <c r="K43" s="35" t="s">
        <v>976</v>
      </c>
      <c r="L43" s="35" t="s">
        <v>2503</v>
      </c>
      <c r="M43" s="35" t="s">
        <v>2504</v>
      </c>
      <c r="Q43" s="35" t="s">
        <v>2505</v>
      </c>
      <c r="S43" s="35" t="s">
        <v>2487</v>
      </c>
      <c r="U43" s="35" t="s">
        <v>2506</v>
      </c>
      <c r="W43" s="35" t="s">
        <v>2507</v>
      </c>
      <c r="X43" s="35" t="s">
        <v>2468</v>
      </c>
      <c r="Y43" s="35" t="s">
        <v>976</v>
      </c>
      <c r="Z43" s="35" t="s">
        <v>990</v>
      </c>
      <c r="AA43" s="35" t="s">
        <v>2508</v>
      </c>
      <c r="AB43" s="35" t="s">
        <v>990</v>
      </c>
      <c r="AC43" s="35" t="s">
        <v>2509</v>
      </c>
      <c r="AD43" s="35" t="s">
        <v>2510</v>
      </c>
      <c r="AE43" s="35" t="s">
        <v>2511</v>
      </c>
      <c r="AG43" s="45">
        <v>13200</v>
      </c>
      <c r="AI43" s="45">
        <v>9600</v>
      </c>
      <c r="AK43" s="45">
        <v>8400</v>
      </c>
      <c r="AL43" s="35" t="s">
        <v>2512</v>
      </c>
      <c r="AN43" s="35" t="s">
        <v>2513</v>
      </c>
      <c r="DG43" s="35" t="s">
        <v>976</v>
      </c>
    </row>
    <row r="44" spans="1:112" ht="38.25" x14ac:dyDescent="0.2">
      <c r="A44" s="34" t="s">
        <v>965</v>
      </c>
      <c r="B44" s="35" t="s">
        <v>990</v>
      </c>
      <c r="C44" s="35" t="s">
        <v>2663</v>
      </c>
      <c r="D44" s="35" t="s">
        <v>2530</v>
      </c>
      <c r="F44" s="35" t="s">
        <v>2493</v>
      </c>
      <c r="G44" s="35" t="s">
        <v>2493</v>
      </c>
      <c r="H44" s="35" t="s">
        <v>2493</v>
      </c>
      <c r="K44" s="35" t="s">
        <v>976</v>
      </c>
      <c r="M44" s="35" t="s">
        <v>2504</v>
      </c>
      <c r="Q44" s="35" t="s">
        <v>2505</v>
      </c>
      <c r="S44" s="35" t="s">
        <v>990</v>
      </c>
      <c r="T44" s="35" t="s">
        <v>2664</v>
      </c>
      <c r="U44" s="35" t="s">
        <v>990</v>
      </c>
      <c r="V44" s="35" t="s">
        <v>2665</v>
      </c>
      <c r="W44" s="35" t="s">
        <v>2507</v>
      </c>
      <c r="X44" s="35" t="s">
        <v>2540</v>
      </c>
      <c r="Y44" s="35" t="s">
        <v>976</v>
      </c>
      <c r="Z44" s="35" t="s">
        <v>990</v>
      </c>
      <c r="AA44" s="35" t="s">
        <v>1025</v>
      </c>
      <c r="AB44" s="35" t="s">
        <v>3862</v>
      </c>
      <c r="AD44" s="35" t="s">
        <v>990</v>
      </c>
      <c r="AE44" s="35" t="s">
        <v>2666</v>
      </c>
      <c r="AG44" s="45">
        <v>12000</v>
      </c>
      <c r="AI44" s="45">
        <v>12000</v>
      </c>
      <c r="AK44" s="45">
        <v>9600</v>
      </c>
      <c r="AL44" s="35" t="s">
        <v>2638</v>
      </c>
      <c r="AN44" s="35" t="s">
        <v>2513</v>
      </c>
      <c r="DG44" s="35" t="s">
        <v>976</v>
      </c>
    </row>
    <row r="45" spans="1:112" x14ac:dyDescent="0.2">
      <c r="A45" s="34" t="s">
        <v>942</v>
      </c>
      <c r="B45" s="35" t="s">
        <v>2596</v>
      </c>
      <c r="D45" s="35" t="s">
        <v>2463</v>
      </c>
      <c r="I45" s="35" t="s">
        <v>2449</v>
      </c>
      <c r="J45" s="35" t="s">
        <v>2449</v>
      </c>
      <c r="K45" s="35" t="s">
        <v>976</v>
      </c>
      <c r="M45" s="35" t="s">
        <v>2450</v>
      </c>
      <c r="CW45" s="35" t="s">
        <v>972</v>
      </c>
      <c r="CX45" s="35" t="s">
        <v>977</v>
      </c>
      <c r="CZ45" s="35" t="s">
        <v>976</v>
      </c>
      <c r="DA45" s="35" t="s">
        <v>2609</v>
      </c>
      <c r="DB45" s="35" t="s">
        <v>2610</v>
      </c>
      <c r="DG45" s="35" t="s">
        <v>976</v>
      </c>
    </row>
    <row r="46" spans="1:112" ht="89.25" x14ac:dyDescent="0.2">
      <c r="A46" s="34" t="s">
        <v>955</v>
      </c>
      <c r="B46" s="35" t="s">
        <v>2478</v>
      </c>
      <c r="D46" s="35" t="s">
        <v>2463</v>
      </c>
      <c r="F46" s="35" t="s">
        <v>2449</v>
      </c>
      <c r="I46" s="35" t="s">
        <v>2449</v>
      </c>
      <c r="J46" s="35" t="s">
        <v>2449</v>
      </c>
      <c r="K46" s="35" t="s">
        <v>976</v>
      </c>
      <c r="L46" s="35" t="s">
        <v>2643</v>
      </c>
      <c r="M46" s="35" t="s">
        <v>3857</v>
      </c>
      <c r="CW46" s="35" t="s">
        <v>972</v>
      </c>
      <c r="CX46" s="35" t="s">
        <v>977</v>
      </c>
      <c r="CZ46" s="35" t="s">
        <v>976</v>
      </c>
      <c r="DA46" s="35" t="s">
        <v>3875</v>
      </c>
      <c r="DC46" s="35" t="s">
        <v>977</v>
      </c>
      <c r="DE46" s="35" t="s">
        <v>2529</v>
      </c>
      <c r="DG46" s="35" t="s">
        <v>976</v>
      </c>
    </row>
    <row r="47" spans="1:112" ht="38.25" x14ac:dyDescent="0.2">
      <c r="A47" s="37" t="s">
        <v>967</v>
      </c>
      <c r="B47" s="36" t="s">
        <v>2535</v>
      </c>
      <c r="C47" s="36"/>
      <c r="D47" s="36" t="s">
        <v>2463</v>
      </c>
      <c r="E47" s="36"/>
      <c r="F47" s="36" t="s">
        <v>2449</v>
      </c>
      <c r="G47" s="36"/>
      <c r="H47" s="36"/>
      <c r="I47" s="36"/>
      <c r="J47" s="36" t="s">
        <v>2449</v>
      </c>
      <c r="K47" s="36" t="s">
        <v>2454</v>
      </c>
      <c r="L47" s="36"/>
      <c r="M47" s="36" t="s">
        <v>2598</v>
      </c>
      <c r="N47" s="36"/>
      <c r="O47" s="36"/>
      <c r="P47" s="36"/>
      <c r="Q47" s="36" t="s">
        <v>2464</v>
      </c>
      <c r="R47" s="36"/>
      <c r="S47" s="36" t="s">
        <v>2487</v>
      </c>
      <c r="T47" s="36"/>
      <c r="U47" s="36" t="s">
        <v>2531</v>
      </c>
      <c r="V47" s="36"/>
      <c r="W47" s="36" t="s">
        <v>2507</v>
      </c>
      <c r="X47" s="36" t="s">
        <v>2561</v>
      </c>
      <c r="Y47" s="36" t="s">
        <v>976</v>
      </c>
      <c r="Z47" s="36" t="s">
        <v>2469</v>
      </c>
      <c r="AA47" s="36"/>
      <c r="AB47" s="36" t="s">
        <v>2469</v>
      </c>
      <c r="AC47" s="36"/>
      <c r="AD47" s="36"/>
      <c r="AE47" s="36"/>
      <c r="AF47" s="46">
        <v>13008</v>
      </c>
      <c r="AG47" s="46">
        <v>12000</v>
      </c>
      <c r="AH47" s="46">
        <v>12000</v>
      </c>
      <c r="AI47" s="46">
        <v>9996</v>
      </c>
      <c r="AJ47" s="46">
        <v>9996</v>
      </c>
      <c r="AK47" s="46">
        <v>7500</v>
      </c>
      <c r="AL47" s="36" t="s">
        <v>2471</v>
      </c>
      <c r="AM47" s="36"/>
      <c r="AN47" s="36" t="s">
        <v>2513</v>
      </c>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t="s">
        <v>972</v>
      </c>
      <c r="CT47" s="36" t="s">
        <v>990</v>
      </c>
      <c r="CU47" s="36" t="s">
        <v>2667</v>
      </c>
      <c r="CV47" s="36" t="s">
        <v>2602</v>
      </c>
      <c r="CW47" s="36"/>
      <c r="CX47" s="36"/>
      <c r="CY47" s="36"/>
      <c r="CZ47" s="36"/>
      <c r="DA47" s="36"/>
      <c r="DB47" s="36"/>
      <c r="DC47" s="36"/>
      <c r="DD47" s="36"/>
      <c r="DE47" s="36"/>
      <c r="DF47" s="36"/>
      <c r="DG47" s="36" t="s">
        <v>976</v>
      </c>
      <c r="DH47" s="36"/>
    </row>
    <row r="48" spans="1:112" ht="63.75" x14ac:dyDescent="0.2">
      <c r="A48" s="34" t="s">
        <v>964</v>
      </c>
      <c r="B48" s="35" t="s">
        <v>2644</v>
      </c>
      <c r="C48" s="35" t="s">
        <v>2659</v>
      </c>
      <c r="D48" s="35" t="s">
        <v>2453</v>
      </c>
      <c r="E48" s="35" t="s">
        <v>2660</v>
      </c>
      <c r="K48" s="35" t="s">
        <v>2454</v>
      </c>
      <c r="L48" s="35" t="s">
        <v>2661</v>
      </c>
      <c r="M48" s="35" t="s">
        <v>990</v>
      </c>
      <c r="N48" s="35" t="s">
        <v>2662</v>
      </c>
      <c r="DG48" s="35" t="s">
        <v>976</v>
      </c>
    </row>
    <row r="49" spans="1:112" ht="38.25" x14ac:dyDescent="0.2">
      <c r="A49" s="34" t="s">
        <v>951</v>
      </c>
      <c r="B49" s="35" t="s">
        <v>990</v>
      </c>
      <c r="C49" s="35" t="s">
        <v>2634</v>
      </c>
      <c r="L49" s="35" t="s">
        <v>2635</v>
      </c>
      <c r="DG49" s="35" t="s">
        <v>976</v>
      </c>
    </row>
    <row r="50" spans="1:112" x14ac:dyDescent="0.2">
      <c r="A50" s="34" t="s">
        <v>954</v>
      </c>
      <c r="B50" s="35" t="s">
        <v>2535</v>
      </c>
      <c r="D50" s="35" t="s">
        <v>2453</v>
      </c>
      <c r="L50" s="35" t="s">
        <v>2641</v>
      </c>
      <c r="M50" s="35" t="s">
        <v>990</v>
      </c>
      <c r="N50" s="35" t="s">
        <v>2642</v>
      </c>
      <c r="DG50" s="35" t="s">
        <v>976</v>
      </c>
    </row>
    <row r="51" spans="1:112" ht="38.25" x14ac:dyDescent="0.2">
      <c r="A51" s="34" t="s">
        <v>944</v>
      </c>
      <c r="B51" s="35" t="s">
        <v>2535</v>
      </c>
      <c r="D51" s="35" t="s">
        <v>2479</v>
      </c>
      <c r="I51" s="35" t="s">
        <v>2493</v>
      </c>
      <c r="J51" s="35" t="s">
        <v>2493</v>
      </c>
      <c r="M51" s="35" t="s">
        <v>2504</v>
      </c>
      <c r="Q51" s="35" t="s">
        <v>2565</v>
      </c>
      <c r="U51" s="35" t="s">
        <v>2506</v>
      </c>
      <c r="W51" s="35" t="s">
        <v>2507</v>
      </c>
      <c r="X51" s="35" t="s">
        <v>2468</v>
      </c>
      <c r="Z51" s="35" t="s">
        <v>3862</v>
      </c>
      <c r="AD51" s="35" t="s">
        <v>2612</v>
      </c>
      <c r="AH51" s="45">
        <v>8136</v>
      </c>
      <c r="AJ51" s="45">
        <v>6096</v>
      </c>
      <c r="AL51" s="35" t="s">
        <v>2534</v>
      </c>
      <c r="DG51" s="35" t="s">
        <v>976</v>
      </c>
    </row>
    <row r="52" spans="1:112" ht="76.5" x14ac:dyDescent="0.2">
      <c r="A52" s="34" t="s">
        <v>950</v>
      </c>
      <c r="B52" s="35" t="s">
        <v>990</v>
      </c>
      <c r="C52" s="35" t="s">
        <v>2623</v>
      </c>
      <c r="J52" s="35" t="s">
        <v>2449</v>
      </c>
      <c r="K52" s="35" t="s">
        <v>2454</v>
      </c>
      <c r="L52" s="35" t="s">
        <v>2624</v>
      </c>
      <c r="M52" s="35" t="s">
        <v>3856</v>
      </c>
      <c r="N52" s="35" t="s">
        <v>2625</v>
      </c>
      <c r="Q52" s="35" t="s">
        <v>2626</v>
      </c>
      <c r="S52" s="35" t="s">
        <v>2487</v>
      </c>
      <c r="U52" s="35" t="s">
        <v>2627</v>
      </c>
      <c r="W52" s="35" t="s">
        <v>2460</v>
      </c>
      <c r="X52" s="35" t="s">
        <v>2540</v>
      </c>
      <c r="Y52" s="35" t="s">
        <v>976</v>
      </c>
      <c r="Z52" s="35" t="s">
        <v>2600</v>
      </c>
      <c r="AB52" s="35" t="s">
        <v>3864</v>
      </c>
      <c r="AC52" s="35" t="s">
        <v>2628</v>
      </c>
      <c r="AD52" s="35" t="s">
        <v>2629</v>
      </c>
      <c r="AE52" s="35" t="s">
        <v>2630</v>
      </c>
      <c r="AI52" s="45">
        <v>9000</v>
      </c>
      <c r="AK52" s="45">
        <v>7500</v>
      </c>
      <c r="AL52" s="35" t="s">
        <v>2631</v>
      </c>
      <c r="AM52" s="35" t="s">
        <v>2632</v>
      </c>
      <c r="AN52" s="35" t="s">
        <v>2633</v>
      </c>
      <c r="CS52" s="35" t="s">
        <v>976</v>
      </c>
      <c r="DG52" s="35" t="s">
        <v>976</v>
      </c>
    </row>
    <row r="53" spans="1:112" ht="25.5" x14ac:dyDescent="0.2">
      <c r="A53" s="34" t="s">
        <v>940</v>
      </c>
      <c r="B53" s="35" t="s">
        <v>2502</v>
      </c>
      <c r="D53" s="35" t="s">
        <v>2530</v>
      </c>
      <c r="I53" s="35" t="s">
        <v>2449</v>
      </c>
      <c r="J53" s="35" t="s">
        <v>2449</v>
      </c>
      <c r="K53" s="35" t="s">
        <v>976</v>
      </c>
      <c r="M53" s="35" t="s">
        <v>2450</v>
      </c>
      <c r="CW53" s="35" t="s">
        <v>972</v>
      </c>
      <c r="CX53" s="35" t="s">
        <v>977</v>
      </c>
      <c r="CZ53" s="35" t="s">
        <v>972</v>
      </c>
      <c r="DA53" s="35" t="s">
        <v>3875</v>
      </c>
      <c r="DG53" s="35" t="s">
        <v>976</v>
      </c>
    </row>
    <row r="54" spans="1:112" ht="38.25" x14ac:dyDescent="0.2">
      <c r="A54" s="34" t="s">
        <v>960</v>
      </c>
      <c r="B54" s="35" t="s">
        <v>2478</v>
      </c>
      <c r="D54" s="35" t="s">
        <v>2453</v>
      </c>
      <c r="F54" s="35" t="s">
        <v>2493</v>
      </c>
      <c r="G54" s="35" t="s">
        <v>2449</v>
      </c>
      <c r="H54" s="35" t="s">
        <v>2449</v>
      </c>
      <c r="I54" s="35" t="s">
        <v>2493</v>
      </c>
      <c r="J54" s="35" t="s">
        <v>2449</v>
      </c>
      <c r="K54" s="35" t="s">
        <v>976</v>
      </c>
      <c r="M54" s="35" t="s">
        <v>2650</v>
      </c>
      <c r="Q54" s="35" t="s">
        <v>2544</v>
      </c>
      <c r="S54" s="35" t="s">
        <v>2465</v>
      </c>
      <c r="U54" s="35" t="s">
        <v>2531</v>
      </c>
      <c r="W54" s="35" t="s">
        <v>2467</v>
      </c>
      <c r="X54" s="35" t="s">
        <v>2540</v>
      </c>
      <c r="Y54" s="35" t="s">
        <v>976</v>
      </c>
      <c r="Z54" s="35" t="s">
        <v>3862</v>
      </c>
      <c r="AB54" s="35" t="s">
        <v>3862</v>
      </c>
      <c r="AD54" s="35" t="s">
        <v>2637</v>
      </c>
      <c r="AL54" s="35" t="s">
        <v>2534</v>
      </c>
      <c r="CW54" s="35" t="s">
        <v>976</v>
      </c>
      <c r="DG54" s="35" t="s">
        <v>976</v>
      </c>
    </row>
    <row r="55" spans="1:112" ht="38.25" x14ac:dyDescent="0.2">
      <c r="A55" s="34" t="s">
        <v>916</v>
      </c>
      <c r="B55" s="35" t="s">
        <v>2447</v>
      </c>
      <c r="I55" s="35" t="s">
        <v>2449</v>
      </c>
      <c r="J55" s="35" t="s">
        <v>2449</v>
      </c>
      <c r="M55" s="35" t="s">
        <v>2485</v>
      </c>
      <c r="Q55" s="35" t="s">
        <v>2486</v>
      </c>
      <c r="S55" s="35" t="s">
        <v>2487</v>
      </c>
      <c r="U55" s="35" t="s">
        <v>2488</v>
      </c>
      <c r="X55" s="35" t="s">
        <v>2468</v>
      </c>
      <c r="Y55" s="35" t="s">
        <v>972</v>
      </c>
      <c r="Z55" s="35" t="s">
        <v>2489</v>
      </c>
      <c r="AB55" s="35" t="s">
        <v>2489</v>
      </c>
      <c r="AD55" s="35" t="s">
        <v>2490</v>
      </c>
      <c r="AL55" s="35" t="s">
        <v>2471</v>
      </c>
      <c r="CW55" s="35" t="s">
        <v>972</v>
      </c>
      <c r="CX55" s="35" t="s">
        <v>977</v>
      </c>
      <c r="CZ55" s="35" t="s">
        <v>976</v>
      </c>
      <c r="DA55" s="35" t="s">
        <v>2491</v>
      </c>
      <c r="DC55" s="35" t="s">
        <v>977</v>
      </c>
      <c r="DG55" s="35" t="s">
        <v>976</v>
      </c>
    </row>
    <row r="56" spans="1:112" x14ac:dyDescent="0.2">
      <c r="A56" s="34" t="s">
        <v>946</v>
      </c>
      <c r="D56" s="35" t="s">
        <v>2453</v>
      </c>
      <c r="J56" s="35" t="s">
        <v>2449</v>
      </c>
      <c r="K56" s="35" t="s">
        <v>976</v>
      </c>
      <c r="DG56" s="35" t="s">
        <v>976</v>
      </c>
    </row>
    <row r="57" spans="1:112" ht="63.75" x14ac:dyDescent="0.2">
      <c r="A57" s="34" t="s">
        <v>919</v>
      </c>
      <c r="B57" s="35" t="s">
        <v>2514</v>
      </c>
      <c r="D57" s="35" t="s">
        <v>2453</v>
      </c>
      <c r="F57" s="35" t="s">
        <v>2493</v>
      </c>
      <c r="G57" s="35" t="s">
        <v>2493</v>
      </c>
      <c r="I57" s="35" t="s">
        <v>2493</v>
      </c>
      <c r="K57" s="35" t="s">
        <v>2454</v>
      </c>
      <c r="M57" s="35" t="s">
        <v>2455</v>
      </c>
      <c r="Q57" s="35" t="s">
        <v>2515</v>
      </c>
      <c r="S57" s="35" t="s">
        <v>2516</v>
      </c>
      <c r="U57" s="35" t="s">
        <v>2517</v>
      </c>
      <c r="V57" s="35" t="s">
        <v>2518</v>
      </c>
      <c r="W57" s="35" t="s">
        <v>2467</v>
      </c>
      <c r="X57" s="35" t="s">
        <v>2496</v>
      </c>
      <c r="Y57" s="35" t="s">
        <v>976</v>
      </c>
      <c r="Z57" s="35" t="s">
        <v>3861</v>
      </c>
      <c r="AA57" s="35" t="s">
        <v>2519</v>
      </c>
      <c r="AB57" s="35" t="s">
        <v>3862</v>
      </c>
      <c r="AD57" s="35" t="s">
        <v>2520</v>
      </c>
      <c r="AF57" s="45">
        <v>12356</v>
      </c>
      <c r="AG57" s="45">
        <v>12356</v>
      </c>
      <c r="AH57" s="45">
        <v>8158</v>
      </c>
      <c r="AI57" s="45">
        <v>10138</v>
      </c>
      <c r="AJ57" s="45">
        <v>4920</v>
      </c>
      <c r="AK57" s="45">
        <v>6000</v>
      </c>
      <c r="AL57" s="35" t="s">
        <v>990</v>
      </c>
      <c r="AM57" s="35" t="s">
        <v>2521</v>
      </c>
      <c r="AN57" s="35" t="s">
        <v>990</v>
      </c>
      <c r="AO57" s="35" t="s">
        <v>2522</v>
      </c>
      <c r="AP57" s="35" t="s">
        <v>2473</v>
      </c>
      <c r="AR57" s="35" t="s">
        <v>2523</v>
      </c>
      <c r="AU57" s="35" t="s">
        <v>2523</v>
      </c>
      <c r="AX57" s="35" t="s">
        <v>2473</v>
      </c>
      <c r="AY57" s="35" t="s">
        <v>2473</v>
      </c>
      <c r="AZ57" s="35" t="s">
        <v>2473</v>
      </c>
      <c r="BB57" s="35" t="s">
        <v>2473</v>
      </c>
      <c r="BC57" s="35" t="s">
        <v>2473</v>
      </c>
      <c r="BD57" s="35" t="s">
        <v>2473</v>
      </c>
      <c r="BG57" s="35" t="s">
        <v>2524</v>
      </c>
      <c r="BH57" s="35" t="s">
        <v>2524</v>
      </c>
      <c r="BI57" s="35" t="s">
        <v>2525</v>
      </c>
      <c r="BJ57" s="35" t="s">
        <v>2525</v>
      </c>
      <c r="BK57" s="35" t="s">
        <v>2501</v>
      </c>
      <c r="BL57" s="35" t="s">
        <v>2526</v>
      </c>
      <c r="BR57" s="35" t="s">
        <v>994</v>
      </c>
      <c r="BS57" s="35" t="s">
        <v>994</v>
      </c>
      <c r="BT57" s="35" t="s">
        <v>994</v>
      </c>
      <c r="BU57" s="35" t="s">
        <v>994</v>
      </c>
      <c r="BV57" s="35" t="s">
        <v>994</v>
      </c>
      <c r="BW57" s="35" t="s">
        <v>994</v>
      </c>
      <c r="BX57" s="35" t="s">
        <v>2201</v>
      </c>
      <c r="BY57" s="35" t="s">
        <v>990</v>
      </c>
      <c r="BZ57" s="35" t="s">
        <v>2476</v>
      </c>
      <c r="CA57" s="35" t="s">
        <v>1143</v>
      </c>
      <c r="CC57" s="35" t="s">
        <v>972</v>
      </c>
      <c r="CE57" s="35" t="s">
        <v>2477</v>
      </c>
      <c r="CF57" s="35" t="s">
        <v>976</v>
      </c>
      <c r="DG57" s="35" t="s">
        <v>976</v>
      </c>
    </row>
    <row r="58" spans="1:112" ht="25.5" x14ac:dyDescent="0.2">
      <c r="A58" s="34" t="s">
        <v>929</v>
      </c>
      <c r="B58" s="35" t="s">
        <v>2478</v>
      </c>
      <c r="D58" s="35" t="s">
        <v>2530</v>
      </c>
      <c r="K58" s="35" t="s">
        <v>976</v>
      </c>
      <c r="L58" s="35" t="s">
        <v>2564</v>
      </c>
      <c r="M58" s="35" t="s">
        <v>2504</v>
      </c>
      <c r="Q58" s="35" t="s">
        <v>2565</v>
      </c>
      <c r="S58" s="35" t="s">
        <v>990</v>
      </c>
      <c r="T58" s="35" t="s">
        <v>2566</v>
      </c>
      <c r="U58" s="35" t="s">
        <v>2495</v>
      </c>
      <c r="W58" s="35" t="s">
        <v>2507</v>
      </c>
      <c r="X58" s="35" t="s">
        <v>2540</v>
      </c>
      <c r="Y58" s="35" t="s">
        <v>976</v>
      </c>
      <c r="Z58" s="35" t="s">
        <v>2469</v>
      </c>
      <c r="AB58" s="35" t="s">
        <v>2469</v>
      </c>
      <c r="AD58" s="35" t="s">
        <v>2567</v>
      </c>
      <c r="AF58" s="45">
        <v>13600</v>
      </c>
      <c r="AG58" s="45">
        <v>12200</v>
      </c>
      <c r="AH58" s="45">
        <v>12200</v>
      </c>
      <c r="AI58" s="45">
        <v>12200</v>
      </c>
      <c r="AJ58" s="45">
        <v>10400</v>
      </c>
      <c r="AK58" s="45">
        <v>10400</v>
      </c>
      <c r="AL58" s="35" t="s">
        <v>2471</v>
      </c>
      <c r="AN58" s="35" t="s">
        <v>2513</v>
      </c>
      <c r="DG58" s="35" t="s">
        <v>976</v>
      </c>
    </row>
    <row r="59" spans="1:112" s="37" customFormat="1" ht="38.25" x14ac:dyDescent="0.2">
      <c r="A59" s="34" t="s">
        <v>943</v>
      </c>
      <c r="B59" s="35" t="s">
        <v>2535</v>
      </c>
      <c r="C59" s="35"/>
      <c r="D59" s="35" t="s">
        <v>2479</v>
      </c>
      <c r="E59" s="35"/>
      <c r="F59" s="35"/>
      <c r="G59" s="35"/>
      <c r="H59" s="35"/>
      <c r="I59" s="35"/>
      <c r="J59" s="35"/>
      <c r="K59" s="35" t="s">
        <v>2454</v>
      </c>
      <c r="L59" s="35" t="s">
        <v>2611</v>
      </c>
      <c r="M59" s="35" t="s">
        <v>2504</v>
      </c>
      <c r="N59" s="35"/>
      <c r="O59" s="35"/>
      <c r="P59" s="35"/>
      <c r="Q59" s="35" t="s">
        <v>2464</v>
      </c>
      <c r="R59" s="35"/>
      <c r="S59" s="35" t="s">
        <v>2487</v>
      </c>
      <c r="T59" s="35"/>
      <c r="U59" s="35" t="s">
        <v>2531</v>
      </c>
      <c r="V59" s="35"/>
      <c r="W59" s="35" t="s">
        <v>2507</v>
      </c>
      <c r="X59" s="35" t="s">
        <v>2540</v>
      </c>
      <c r="Y59" s="35" t="s">
        <v>976</v>
      </c>
      <c r="Z59" s="35" t="s">
        <v>2469</v>
      </c>
      <c r="AA59" s="35"/>
      <c r="AB59" s="35" t="s">
        <v>2469</v>
      </c>
      <c r="AC59" s="35"/>
      <c r="AD59" s="35" t="s">
        <v>2567</v>
      </c>
      <c r="AE59" s="35"/>
      <c r="AF59" s="45">
        <v>10500</v>
      </c>
      <c r="AG59" s="45">
        <v>10500</v>
      </c>
      <c r="AH59" s="45">
        <v>9000</v>
      </c>
      <c r="AI59" s="45">
        <v>9000</v>
      </c>
      <c r="AJ59" s="45">
        <v>7500</v>
      </c>
      <c r="AK59" s="45">
        <v>6849</v>
      </c>
      <c r="AL59" s="35" t="s">
        <v>2534</v>
      </c>
      <c r="AM59" s="35"/>
      <c r="AN59" s="35" t="s">
        <v>3874</v>
      </c>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t="s">
        <v>976</v>
      </c>
      <c r="DH59" s="35"/>
    </row>
    <row r="60" spans="1:112" s="37" customFormat="1" ht="51" x14ac:dyDescent="0.2">
      <c r="A60" s="34" t="s">
        <v>953</v>
      </c>
      <c r="B60" s="35" t="s">
        <v>2535</v>
      </c>
      <c r="C60" s="35"/>
      <c r="D60" s="35" t="s">
        <v>2453</v>
      </c>
      <c r="E60" s="35" t="s">
        <v>2580</v>
      </c>
      <c r="F60" s="35"/>
      <c r="G60" s="35"/>
      <c r="H60" s="35"/>
      <c r="I60" s="35"/>
      <c r="J60" s="35"/>
      <c r="K60" s="35" t="s">
        <v>976</v>
      </c>
      <c r="L60" s="35" t="s">
        <v>2639</v>
      </c>
      <c r="M60" s="35" t="s">
        <v>2504</v>
      </c>
      <c r="N60" s="35"/>
      <c r="O60" s="35"/>
      <c r="P60" s="35"/>
      <c r="Q60" s="35" t="s">
        <v>2626</v>
      </c>
      <c r="R60" s="35"/>
      <c r="S60" s="35" t="s">
        <v>2516</v>
      </c>
      <c r="T60" s="35"/>
      <c r="U60" s="35" t="s">
        <v>2506</v>
      </c>
      <c r="V60" s="35"/>
      <c r="W60" s="35" t="s">
        <v>2507</v>
      </c>
      <c r="X60" s="35" t="s">
        <v>2468</v>
      </c>
      <c r="Y60" s="35" t="s">
        <v>972</v>
      </c>
      <c r="Z60" s="35" t="s">
        <v>2497</v>
      </c>
      <c r="AA60" s="35"/>
      <c r="AB60" s="35" t="s">
        <v>3862</v>
      </c>
      <c r="AC60" s="35"/>
      <c r="AD60" s="35" t="s">
        <v>3867</v>
      </c>
      <c r="AE60" s="35"/>
      <c r="AF60" s="45">
        <v>15000</v>
      </c>
      <c r="AG60" s="45">
        <v>14000</v>
      </c>
      <c r="AH60" s="45">
        <v>13000</v>
      </c>
      <c r="AI60" s="45">
        <v>11400</v>
      </c>
      <c r="AJ60" s="45">
        <v>6600</v>
      </c>
      <c r="AK60" s="45">
        <v>6600</v>
      </c>
      <c r="AL60" s="35" t="s">
        <v>2471</v>
      </c>
      <c r="AM60" s="35"/>
      <c r="AN60" s="35" t="s">
        <v>2640</v>
      </c>
      <c r="AO60" s="35"/>
      <c r="AP60" s="35" t="s">
        <v>2473</v>
      </c>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t="s">
        <v>2587</v>
      </c>
      <c r="BS60" s="35" t="s">
        <v>2587</v>
      </c>
      <c r="BT60" s="35" t="s">
        <v>2587</v>
      </c>
      <c r="BU60" s="35" t="s">
        <v>2587</v>
      </c>
      <c r="BV60" s="35" t="s">
        <v>2587</v>
      </c>
      <c r="BW60" s="35" t="s">
        <v>2587</v>
      </c>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t="s">
        <v>976</v>
      </c>
      <c r="DH60" s="35"/>
    </row>
    <row r="61" spans="1:112" s="37" customFormat="1" x14ac:dyDescent="0.2">
      <c r="A61" s="20" t="s">
        <v>3541</v>
      </c>
      <c r="B61" s="27">
        <f>COUNTA(B3:B60)</f>
        <v>53</v>
      </c>
      <c r="C61" s="27">
        <f t="shared" ref="C61:BN61" si="0">COUNTA(C3:C60)</f>
        <v>10</v>
      </c>
      <c r="D61" s="27">
        <f t="shared" si="0"/>
        <v>47</v>
      </c>
      <c r="E61" s="27">
        <f t="shared" si="0"/>
        <v>9</v>
      </c>
      <c r="F61" s="27">
        <f t="shared" si="0"/>
        <v>17</v>
      </c>
      <c r="G61" s="27">
        <f t="shared" si="0"/>
        <v>14</v>
      </c>
      <c r="H61" s="27">
        <f t="shared" si="0"/>
        <v>7</v>
      </c>
      <c r="I61" s="27">
        <f t="shared" si="0"/>
        <v>26</v>
      </c>
      <c r="J61" s="27">
        <f t="shared" si="0"/>
        <v>29</v>
      </c>
      <c r="K61" s="27">
        <f t="shared" si="0"/>
        <v>47</v>
      </c>
      <c r="L61" s="27">
        <f t="shared" si="0"/>
        <v>19</v>
      </c>
      <c r="M61" s="27">
        <f t="shared" si="0"/>
        <v>55</v>
      </c>
      <c r="N61" s="27">
        <f t="shared" si="0"/>
        <v>5</v>
      </c>
      <c r="O61" s="27">
        <f t="shared" si="0"/>
        <v>8</v>
      </c>
      <c r="P61" s="27">
        <f t="shared" si="0"/>
        <v>3</v>
      </c>
      <c r="Q61" s="27">
        <f t="shared" si="0"/>
        <v>36</v>
      </c>
      <c r="R61" s="27">
        <f t="shared" si="0"/>
        <v>2</v>
      </c>
      <c r="S61" s="27">
        <f t="shared" si="0"/>
        <v>31</v>
      </c>
      <c r="T61" s="27">
        <f t="shared" si="0"/>
        <v>5</v>
      </c>
      <c r="U61" s="27">
        <f t="shared" si="0"/>
        <v>34</v>
      </c>
      <c r="V61" s="27">
        <f t="shared" si="0"/>
        <v>7</v>
      </c>
      <c r="W61" s="27">
        <f t="shared" si="0"/>
        <v>35</v>
      </c>
      <c r="X61" s="27">
        <f t="shared" si="0"/>
        <v>34</v>
      </c>
      <c r="Y61" s="27">
        <f t="shared" si="0"/>
        <v>32</v>
      </c>
      <c r="Z61" s="27">
        <f t="shared" si="0"/>
        <v>32</v>
      </c>
      <c r="AA61" s="27">
        <f t="shared" si="0"/>
        <v>10</v>
      </c>
      <c r="AB61" s="27">
        <f t="shared" si="0"/>
        <v>31</v>
      </c>
      <c r="AC61" s="27">
        <f t="shared" si="0"/>
        <v>8</v>
      </c>
      <c r="AD61" s="27">
        <f t="shared" si="0"/>
        <v>29</v>
      </c>
      <c r="AE61" s="27">
        <f t="shared" si="0"/>
        <v>3</v>
      </c>
      <c r="AF61" s="27">
        <f t="shared" si="0"/>
        <v>16</v>
      </c>
      <c r="AG61" s="27">
        <f t="shared" si="0"/>
        <v>20</v>
      </c>
      <c r="AH61" s="27">
        <f t="shared" si="0"/>
        <v>16</v>
      </c>
      <c r="AI61" s="27">
        <f t="shared" si="0"/>
        <v>21</v>
      </c>
      <c r="AJ61" s="27">
        <f t="shared" si="0"/>
        <v>13</v>
      </c>
      <c r="AK61" s="27">
        <f t="shared" si="0"/>
        <v>19</v>
      </c>
      <c r="AL61" s="27">
        <f t="shared" si="0"/>
        <v>29</v>
      </c>
      <c r="AM61" s="27">
        <f t="shared" si="0"/>
        <v>2</v>
      </c>
      <c r="AN61" s="27">
        <f t="shared" si="0"/>
        <v>12</v>
      </c>
      <c r="AO61" s="27">
        <f t="shared" si="0"/>
        <v>1</v>
      </c>
      <c r="AP61" s="27">
        <f t="shared" si="0"/>
        <v>11</v>
      </c>
      <c r="AQ61" s="27">
        <f t="shared" si="0"/>
        <v>0</v>
      </c>
      <c r="AR61" s="27">
        <f t="shared" si="0"/>
        <v>7</v>
      </c>
      <c r="AS61" s="27">
        <f t="shared" si="0"/>
        <v>2</v>
      </c>
      <c r="AT61" s="27">
        <f t="shared" si="0"/>
        <v>2</v>
      </c>
      <c r="AU61" s="27">
        <f t="shared" si="0"/>
        <v>6</v>
      </c>
      <c r="AV61" s="27">
        <f t="shared" si="0"/>
        <v>2</v>
      </c>
      <c r="AW61" s="27">
        <f t="shared" si="0"/>
        <v>2</v>
      </c>
      <c r="AX61" s="27">
        <f t="shared" si="0"/>
        <v>6</v>
      </c>
      <c r="AY61" s="27">
        <f t="shared" si="0"/>
        <v>2</v>
      </c>
      <c r="AZ61" s="27">
        <f t="shared" si="0"/>
        <v>2</v>
      </c>
      <c r="BA61" s="27">
        <f t="shared" si="0"/>
        <v>1</v>
      </c>
      <c r="BB61" s="27">
        <f t="shared" si="0"/>
        <v>6</v>
      </c>
      <c r="BC61" s="27">
        <f t="shared" si="0"/>
        <v>6</v>
      </c>
      <c r="BD61" s="27">
        <f t="shared" si="0"/>
        <v>5</v>
      </c>
      <c r="BE61" s="27">
        <f t="shared" si="0"/>
        <v>0</v>
      </c>
      <c r="BF61" s="27">
        <f t="shared" si="0"/>
        <v>0</v>
      </c>
      <c r="BG61" s="27">
        <f t="shared" si="0"/>
        <v>5</v>
      </c>
      <c r="BH61" s="27">
        <f t="shared" si="0"/>
        <v>4</v>
      </c>
      <c r="BI61" s="27">
        <f t="shared" si="0"/>
        <v>5</v>
      </c>
      <c r="BJ61" s="27">
        <f t="shared" si="0"/>
        <v>5</v>
      </c>
      <c r="BK61" s="27">
        <f t="shared" si="0"/>
        <v>5</v>
      </c>
      <c r="BL61" s="27">
        <f t="shared" si="0"/>
        <v>4</v>
      </c>
      <c r="BM61" s="27">
        <f t="shared" si="0"/>
        <v>1</v>
      </c>
      <c r="BN61" s="27">
        <f t="shared" si="0"/>
        <v>0</v>
      </c>
      <c r="BO61" s="27">
        <f t="shared" ref="BO61:DH61" si="1">COUNTA(BO3:BO60)</f>
        <v>0</v>
      </c>
      <c r="BP61" s="27">
        <f t="shared" si="1"/>
        <v>0</v>
      </c>
      <c r="BQ61" s="27">
        <f t="shared" si="1"/>
        <v>0</v>
      </c>
      <c r="BR61" s="27">
        <f t="shared" si="1"/>
        <v>9</v>
      </c>
      <c r="BS61" s="27">
        <f t="shared" si="1"/>
        <v>9</v>
      </c>
      <c r="BT61" s="27">
        <f t="shared" si="1"/>
        <v>9</v>
      </c>
      <c r="BU61" s="27">
        <f t="shared" si="1"/>
        <v>9</v>
      </c>
      <c r="BV61" s="27">
        <f t="shared" si="1"/>
        <v>9</v>
      </c>
      <c r="BW61" s="27">
        <f t="shared" si="1"/>
        <v>9</v>
      </c>
      <c r="BX61" s="27">
        <f t="shared" si="1"/>
        <v>4</v>
      </c>
      <c r="BY61" s="27">
        <f t="shared" si="1"/>
        <v>9</v>
      </c>
      <c r="BZ61" s="27">
        <f t="shared" si="1"/>
        <v>6</v>
      </c>
      <c r="CA61" s="27">
        <f t="shared" si="1"/>
        <v>8</v>
      </c>
      <c r="CB61" s="27">
        <f t="shared" si="1"/>
        <v>5</v>
      </c>
      <c r="CC61" s="27">
        <f t="shared" si="1"/>
        <v>8</v>
      </c>
      <c r="CD61" s="27">
        <f t="shared" si="1"/>
        <v>1</v>
      </c>
      <c r="CE61" s="27">
        <f t="shared" si="1"/>
        <v>8</v>
      </c>
      <c r="CF61" s="27">
        <f t="shared" si="1"/>
        <v>8</v>
      </c>
      <c r="CG61" s="27">
        <f t="shared" si="1"/>
        <v>1</v>
      </c>
      <c r="CH61" s="27">
        <f t="shared" si="1"/>
        <v>1</v>
      </c>
      <c r="CI61" s="27">
        <f t="shared" si="1"/>
        <v>0</v>
      </c>
      <c r="CJ61" s="27">
        <f t="shared" si="1"/>
        <v>0</v>
      </c>
      <c r="CK61" s="27">
        <f t="shared" si="1"/>
        <v>0</v>
      </c>
      <c r="CL61" s="27">
        <f t="shared" si="1"/>
        <v>0</v>
      </c>
      <c r="CM61" s="27">
        <f t="shared" si="1"/>
        <v>0</v>
      </c>
      <c r="CN61" s="27">
        <f t="shared" si="1"/>
        <v>0</v>
      </c>
      <c r="CO61" s="27">
        <f t="shared" si="1"/>
        <v>1</v>
      </c>
      <c r="CP61" s="27">
        <f t="shared" si="1"/>
        <v>1</v>
      </c>
      <c r="CQ61" s="27">
        <f t="shared" si="1"/>
        <v>1</v>
      </c>
      <c r="CR61" s="27">
        <f t="shared" si="1"/>
        <v>0</v>
      </c>
      <c r="CS61" s="27">
        <f t="shared" si="1"/>
        <v>4</v>
      </c>
      <c r="CT61" s="27">
        <f t="shared" si="1"/>
        <v>3</v>
      </c>
      <c r="CU61" s="27">
        <f t="shared" si="1"/>
        <v>1</v>
      </c>
      <c r="CV61" s="27">
        <f t="shared" si="1"/>
        <v>3</v>
      </c>
      <c r="CW61" s="27">
        <f t="shared" si="1"/>
        <v>9</v>
      </c>
      <c r="CX61" s="27">
        <f t="shared" si="1"/>
        <v>6</v>
      </c>
      <c r="CY61" s="27">
        <f t="shared" si="1"/>
        <v>1</v>
      </c>
      <c r="CZ61" s="27">
        <f t="shared" si="1"/>
        <v>6</v>
      </c>
      <c r="DA61" s="27">
        <f t="shared" si="1"/>
        <v>6</v>
      </c>
      <c r="DB61" s="27">
        <f t="shared" si="1"/>
        <v>1</v>
      </c>
      <c r="DC61" s="27">
        <f t="shared" si="1"/>
        <v>7</v>
      </c>
      <c r="DD61" s="27">
        <f t="shared" si="1"/>
        <v>0</v>
      </c>
      <c r="DE61" s="27">
        <f t="shared" si="1"/>
        <v>7</v>
      </c>
      <c r="DF61" s="27">
        <f t="shared" si="1"/>
        <v>3</v>
      </c>
      <c r="DG61" s="27">
        <f t="shared" si="1"/>
        <v>56</v>
      </c>
      <c r="DH61" s="27">
        <f t="shared" si="1"/>
        <v>0</v>
      </c>
    </row>
    <row r="62" spans="1:112" s="37" customFormat="1" x14ac:dyDescent="0.2">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46"/>
      <c r="AG62" s="46"/>
      <c r="AH62" s="46"/>
      <c r="AI62" s="46"/>
      <c r="AJ62" s="46"/>
      <c r="AK62" s="4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row>
    <row r="63" spans="1:112" s="37" customFormat="1" x14ac:dyDescent="0.2">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46"/>
      <c r="AG63" s="46"/>
      <c r="AH63" s="46"/>
      <c r="AI63" s="46"/>
      <c r="AJ63" s="46"/>
      <c r="AK63" s="4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row>
    <row r="64" spans="1:112" s="37" customFormat="1" x14ac:dyDescent="0.2">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46"/>
      <c r="AG64" s="46"/>
      <c r="AH64" s="46"/>
      <c r="AI64" s="46"/>
      <c r="AJ64" s="46"/>
      <c r="AK64" s="4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row>
    <row r="65" spans="2:112" s="37" customFormat="1" x14ac:dyDescent="0.2">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46"/>
      <c r="AG65" s="46"/>
      <c r="AH65" s="46"/>
      <c r="AI65" s="46"/>
      <c r="AJ65" s="46"/>
      <c r="AK65" s="4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row>
    <row r="66" spans="2:112" s="37" customFormat="1" x14ac:dyDescent="0.2">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46"/>
      <c r="AG66" s="46"/>
      <c r="AH66" s="46"/>
      <c r="AI66" s="46"/>
      <c r="AJ66" s="46"/>
      <c r="AK66" s="4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row>
    <row r="67" spans="2:112" s="37" customFormat="1" x14ac:dyDescent="0.2">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46"/>
      <c r="AG67" s="46"/>
      <c r="AH67" s="46"/>
      <c r="AI67" s="46"/>
      <c r="AJ67" s="46"/>
      <c r="AK67" s="4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c r="CL67" s="36"/>
      <c r="CM67" s="36"/>
      <c r="CN67" s="36"/>
      <c r="CO67" s="36"/>
      <c r="CP67" s="36"/>
      <c r="CQ67" s="36"/>
      <c r="CR67" s="36"/>
      <c r="CS67" s="36"/>
      <c r="CT67" s="36"/>
      <c r="CU67" s="36"/>
      <c r="CV67" s="36"/>
      <c r="CW67" s="36"/>
      <c r="CX67" s="36"/>
      <c r="CY67" s="36"/>
      <c r="CZ67" s="36"/>
      <c r="DA67" s="36"/>
      <c r="DB67" s="36"/>
      <c r="DC67" s="36"/>
      <c r="DD67" s="36"/>
      <c r="DE67" s="36"/>
      <c r="DF67" s="36"/>
      <c r="DG67" s="36"/>
      <c r="DH67" s="36"/>
    </row>
    <row r="68" spans="2:112" s="37" customFormat="1" x14ac:dyDescent="0.2">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46"/>
      <c r="AG68" s="46"/>
      <c r="AH68" s="46"/>
      <c r="AI68" s="46"/>
      <c r="AJ68" s="46"/>
      <c r="AK68" s="4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row>
    <row r="69" spans="2:112" s="37" customFormat="1" x14ac:dyDescent="0.2">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46"/>
      <c r="AG69" s="46"/>
      <c r="AH69" s="46"/>
      <c r="AI69" s="46"/>
      <c r="AJ69" s="46"/>
      <c r="AK69" s="4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row>
    <row r="70" spans="2:112" s="37" customFormat="1" x14ac:dyDescent="0.2">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46"/>
      <c r="AG70" s="46"/>
      <c r="AH70" s="46"/>
      <c r="AI70" s="46"/>
      <c r="AJ70" s="46"/>
      <c r="AK70" s="4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c r="DF70" s="36"/>
      <c r="DG70" s="36"/>
      <c r="DH70" s="36"/>
    </row>
  </sheetData>
  <autoFilter ref="A2:DH61" xr:uid="{C2EE29B8-BA10-4D43-9667-7CC8EA868BE1}"/>
  <sortState xmlns:xlrd2="http://schemas.microsoft.com/office/spreadsheetml/2017/richdata2" ref="A3:DH60">
    <sortCondition ref="A3:A60"/>
  </sortState>
  <conditionalFormatting sqref="A3:A59">
    <cfRule type="duplicateValues" dxfId="2" priority="2"/>
    <cfRule type="duplicateValues" dxfId="1" priority="3"/>
  </conditionalFormatting>
  <conditionalFormatting sqref="A60">
    <cfRule type="duplicateValues" dxfId="0" priority="1"/>
  </conditionalFormatting>
  <hyperlinks>
    <hyperlink ref="A1" location="Index!A1" display="Back to Index" xr:uid="{00000000-0004-0000-0C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V172"/>
  <sheetViews>
    <sheetView zoomScaleNormal="100" workbookViewId="0">
      <pane ySplit="1" topLeftCell="A2" activePane="bottomLeft" state="frozen"/>
      <selection pane="bottomLeft" sqref="A1:B1"/>
    </sheetView>
  </sheetViews>
  <sheetFormatPr defaultRowHeight="12.75" x14ac:dyDescent="0.2"/>
  <cols>
    <col min="1" max="1" width="9.28515625" style="47" customWidth="1"/>
    <col min="2" max="2" width="40.7109375" style="47" customWidth="1"/>
    <col min="3" max="3" width="9.28515625" style="47" customWidth="1"/>
    <col min="4" max="4" width="40.7109375" style="47" customWidth="1"/>
    <col min="5" max="5" width="9.28515625" style="47" customWidth="1"/>
    <col min="6" max="6" width="40.7109375" style="47" customWidth="1"/>
    <col min="7" max="7" width="9.28515625" style="47" customWidth="1"/>
    <col min="8" max="8" width="40.7109375" style="47" customWidth="1"/>
    <col min="9" max="9" width="9.28515625" style="47" customWidth="1"/>
    <col min="10" max="10" width="40.7109375" style="47" customWidth="1"/>
    <col min="11" max="11" width="9.28515625" style="47" customWidth="1"/>
    <col min="12" max="12" width="40.42578125" style="47" bestFit="1" customWidth="1"/>
    <col min="13" max="13" width="9.28515625" style="47" customWidth="1"/>
    <col min="14" max="14" width="40.42578125" style="47" bestFit="1" customWidth="1"/>
    <col min="15" max="15" width="9.28515625" style="47" customWidth="1"/>
    <col min="16" max="16" width="40.7109375" style="47" customWidth="1"/>
    <col min="17" max="17" width="9.28515625" style="47" customWidth="1"/>
    <col min="18" max="18" width="39.7109375" style="47" bestFit="1" customWidth="1"/>
    <col min="19" max="19" width="9.28515625" style="47" customWidth="1"/>
    <col min="20" max="20" width="40.5703125" style="47" bestFit="1" customWidth="1"/>
    <col min="21" max="21" width="9.28515625" style="47" customWidth="1"/>
    <col min="22" max="22" width="40.7109375" style="47" customWidth="1"/>
    <col min="23" max="16384" width="9.140625" style="47"/>
  </cols>
  <sheetData>
    <row r="1" spans="1:22" s="51" customFormat="1" ht="15.75" thickBot="1" x14ac:dyDescent="0.25">
      <c r="A1" s="83" t="s">
        <v>901</v>
      </c>
      <c r="B1" s="84"/>
      <c r="C1" s="85" t="s">
        <v>902</v>
      </c>
      <c r="D1" s="86"/>
      <c r="E1" s="81" t="s">
        <v>903</v>
      </c>
      <c r="F1" s="82"/>
      <c r="G1" s="85" t="s">
        <v>904</v>
      </c>
      <c r="H1" s="86"/>
      <c r="I1" s="81" t="s">
        <v>905</v>
      </c>
      <c r="J1" s="82"/>
      <c r="K1" s="85" t="s">
        <v>906</v>
      </c>
      <c r="L1" s="86"/>
      <c r="M1" s="81" t="s">
        <v>907</v>
      </c>
      <c r="N1" s="86"/>
      <c r="O1" s="81" t="s">
        <v>908</v>
      </c>
      <c r="P1" s="82"/>
      <c r="Q1" s="85" t="s">
        <v>909</v>
      </c>
      <c r="R1" s="86"/>
      <c r="S1" s="81" t="s">
        <v>3579</v>
      </c>
      <c r="T1" s="82"/>
      <c r="U1" s="81" t="s">
        <v>910</v>
      </c>
      <c r="V1" s="82"/>
    </row>
    <row r="2" spans="1:22" ht="38.25" x14ac:dyDescent="0.2">
      <c r="A2" s="52" t="str">
        <f>HYPERLINK("#'Private Medical Insurance'!B1","Q2.2")</f>
        <v>Q2.2</v>
      </c>
      <c r="B2" s="57" t="str">
        <f>HYPERLINK("#'Private Medical Insurance'!B2","Offer private medical insurance (PMI)")</f>
        <v>Offer private medical insurance (PMI)</v>
      </c>
      <c r="C2" s="54" t="str">
        <f>HYPERLINK("#'Dental &amp; Vision'!B1","Q3.2")</f>
        <v>Q3.2</v>
      </c>
      <c r="D2" s="53" t="str">
        <f>HYPERLINK("#'Dental &amp; Vision'!B2","Offer some type of dental benefit ")</f>
        <v xml:space="preserve">Offer some type of dental benefit </v>
      </c>
      <c r="E2" s="65" t="str">
        <f>HYPERLINK("#'Life,Accident,Critical Illness'!B1","Q4.2")</f>
        <v>Q4.2</v>
      </c>
      <c r="F2" s="66" t="str">
        <f>HYPERLINK("#'Life,Accident,Critical Illness'!B2","Provide supplemental life assurance or death benefit (excluding any social security survivor's benefits)")</f>
        <v>Provide supplemental life assurance or death benefit (excluding any social security survivor's benefits)</v>
      </c>
      <c r="G2" s="54" t="str">
        <f>HYPERLINK("#'Short &amp; Long Term Disability'!B1","Q5.2")</f>
        <v>Q5.2</v>
      </c>
      <c r="H2" s="53" t="str">
        <f>HYPERLINK("#'Short &amp; Long Term Disability'!B2","Provide supplemental short-term disability benefits above statutory sick pay (SSP)")</f>
        <v>Provide supplemental short-term disability benefits above statutory sick pay (SSP)</v>
      </c>
      <c r="I2" s="75" t="str">
        <f>HYPERLINK("#'Retirement'!B1","Q6.2")</f>
        <v>Q6.2</v>
      </c>
      <c r="J2" s="76" t="str">
        <f>HYPERLINK("#'Retirement'!B2","Provide contributions in excess of the legally required amount under automatic enrollment")</f>
        <v>Provide contributions in excess of the legally required amount under automatic enrollment</v>
      </c>
      <c r="K2" s="65" t="str">
        <f>HYPERLINK("#'Wellness'!B1","Q7.2")</f>
        <v>Q7.2</v>
      </c>
      <c r="L2" s="66" t="str">
        <f>HYPERLINK("#'Wellness'!B2","Degree of support provided to the workforce in defining a strong sense of self or purpose")</f>
        <v>Degree of support provided to the workforce in defining a strong sense of self or purpose</v>
      </c>
      <c r="M2" s="54" t="str">
        <f>HYPERLINK("#'EAP'!B1","Q8.2")</f>
        <v>Q8.2</v>
      </c>
      <c r="N2" s="53" t="str">
        <f>HYPERLINK("#'EAP'!B2","Have an Employee Assistance Program (EAP)")</f>
        <v>Have an Employee Assistance Program (EAP)</v>
      </c>
      <c r="O2" s="75" t="str">
        <f>HYPERLINK("#'Leaves'!B1","Q9.2")</f>
        <v>Q9.2</v>
      </c>
      <c r="P2" s="76" t="str">
        <f>HYPERLINK("#'Leaves'!B2","Leave benefits offered")</f>
        <v>Leave benefits offered</v>
      </c>
      <c r="Q2" s="77" t="str">
        <f>HYPERLINK("#'Voluntary Benefits'!B1","Q10.2")</f>
        <v>Q10.2</v>
      </c>
      <c r="R2" s="53" t="str">
        <f>HYPERLINK("#'Voluntary Benefits'!B2","Provide voluntary benefits")</f>
        <v>Provide voluntary benefits</v>
      </c>
      <c r="S2" s="75" t="str">
        <f>HYPERLINK("#'Perks &amp; Allowances'!B1","Q11.2")</f>
        <v>Q11.2</v>
      </c>
      <c r="T2" s="76" t="str">
        <f>HYPERLINK("#'Perks &amp; Allowances'!B2","Perks and allowances offered")</f>
        <v>Perks and allowances offered</v>
      </c>
      <c r="U2" s="75" t="str">
        <f>HYPERLINK("#'Transportation Policy'!B1","Q12.2")</f>
        <v>Q12.2</v>
      </c>
      <c r="V2" s="76" t="str">
        <f>HYPERLINK("#'Transportation Policy'!B2","Department responsible for the company's transportation policy design (eligibility, budget, etc.)")</f>
        <v>Department responsible for the company's transportation policy design (eligibility, budget, etc.)</v>
      </c>
    </row>
    <row r="3" spans="1:22" ht="38.25" x14ac:dyDescent="0.2">
      <c r="A3" s="48" t="str">
        <f>HYPERLINK("#'Private Medical Insurance'!C1","Q2.3")</f>
        <v>Q2.3</v>
      </c>
      <c r="B3" s="58" t="str">
        <f>HYPERLINK("#'Private Medical Insurance'!C2","Approach to insuring PMI scheme")</f>
        <v>Approach to insuring PMI scheme</v>
      </c>
      <c r="C3" s="55" t="str">
        <f>HYPERLINK("#'Dental &amp; Vision'!C1","Q3.4")</f>
        <v>Q3.4</v>
      </c>
      <c r="D3" s="49" t="str">
        <f>HYPERLINK("#'Dental &amp; Vision'!C2","Approach to employee participation")</f>
        <v>Approach to employee participation</v>
      </c>
      <c r="E3" s="67" t="str">
        <f>HYPERLINK("#'Life,Accident,Critical Illness'!C1","Q4.3")</f>
        <v>Q4.3</v>
      </c>
      <c r="F3" s="68" t="str">
        <f>HYPERLINK("#'Life,Accident,Critical Illness'!C2","Provide different life assurance or death benefit plan designs, types or levels")</f>
        <v>Provide different life assurance or death benefit plan designs, types or levels</v>
      </c>
      <c r="G3" s="55" t="str">
        <f>HYPERLINK("#'Short &amp; Long Term Disability'!C1","Q5.4")</f>
        <v>Q5.4</v>
      </c>
      <c r="H3" s="49" t="str">
        <f>HYPERLINK("#'Short &amp; Long Term Disability'!C2","How the supplemental short-term disability benefit is provided")</f>
        <v>How the supplemental short-term disability benefit is provided</v>
      </c>
      <c r="I3" s="67" t="str">
        <f>HYPERLINK("#'Retirement'!C1","Q6.3")</f>
        <v>Q6.3</v>
      </c>
      <c r="J3" s="68" t="str">
        <f>HYPERLINK("#'Retirement'!C2","Types of supplemental or private pension plans and flexible workplace savings opportunities provided")</f>
        <v>Types of supplemental or private pension plans and flexible workplace savings opportunities provided</v>
      </c>
      <c r="K3" s="67" t="str">
        <f>HYPERLINK("#'Wellness'!C1","Q7.3")</f>
        <v>Q7.3</v>
      </c>
      <c r="L3" s="68" t="str">
        <f>HYPERLINK("#'Wellness'!C2","Extent that perceptions or stigma of mental illness impact wellness program utilization ")</f>
        <v xml:space="preserve">Extent that perceptions or stigma of mental illness impact wellness program utilization </v>
      </c>
      <c r="M3" s="55" t="str">
        <f>HYPERLINK("#'EAP'!C1","Q8.3")</f>
        <v>Q8.3</v>
      </c>
      <c r="N3" s="49" t="str">
        <f>HYPERLINK("#'EAP'!C2","Approach to determining the number of EAP sessions offered to employees")</f>
        <v>Approach to determining the number of EAP sessions offered to employees</v>
      </c>
      <c r="O3" s="67" t="str">
        <f>HYPERLINK("#'Leaves'!C1","Q9.4")</f>
        <v>Q9.4</v>
      </c>
      <c r="P3" s="68" t="str">
        <f>HYPERLINK("#'Leaves'!C2","Approach to annual/privilege leave")</f>
        <v>Approach to annual/privilege leave</v>
      </c>
      <c r="Q3" s="78" t="str">
        <f>HYPERLINK("#'Voluntary Benefits'!C1","Q10.4")</f>
        <v>Q10.4</v>
      </c>
      <c r="R3" s="49" t="str">
        <f>HYPERLINK("#'Voluntary Benefits'!C2","Voluntary benefits provided")</f>
        <v>Voluntary benefits provided</v>
      </c>
      <c r="S3" s="67" t="str">
        <f>HYPERLINK("#'Perks &amp; Allowances'!C1","Q11.3")</f>
        <v>Q11.3</v>
      </c>
      <c r="T3" s="68" t="str">
        <f>HYPERLINK("#'Perks &amp; Allowances'!C2","Housing or accommodation allowance policy")</f>
        <v>Housing or accommodation allowance policy</v>
      </c>
      <c r="U3" s="67" t="str">
        <f>HYPERLINK("#'Transportation Policy'!C1","Q12.2_6_TEXT")</f>
        <v>Q12.2_6_TEXT</v>
      </c>
      <c r="V3" s="68" t="str">
        <f>HYPERLINK("#'Transportation Policy'!C2","Other department responsible for the company's transportation policy design (eligibility, budget, etc.)")</f>
        <v>Other department responsible for the company's transportation policy design (eligibility, budget, etc.)</v>
      </c>
    </row>
    <row r="4" spans="1:22" ht="38.25" x14ac:dyDescent="0.2">
      <c r="A4" s="48" t="str">
        <f>HYPERLINK("#'Private Medical Insurance'!D1","Q2.3_3_TEXT")</f>
        <v>Q2.3_3_TEXT</v>
      </c>
      <c r="B4" s="58" t="str">
        <f>HYPERLINK("#'Private Medical Insurance'!D2","Other approach to insuring PMI scheme")</f>
        <v>Other approach to insuring PMI scheme</v>
      </c>
      <c r="C4" s="55" t="str">
        <f>HYPERLINK("#'Dental &amp; Vision'!D1","Q3.5")</f>
        <v>Q3.5</v>
      </c>
      <c r="D4" s="49" t="str">
        <f>HYPERLINK("#'Dental &amp; Vision'!D2","Approach to insuring dental benefits")</f>
        <v>Approach to insuring dental benefits</v>
      </c>
      <c r="E4" s="67" t="str">
        <f>HYPERLINK("#'Life,Accident,Critical Illness'!D1","Q4.4")</f>
        <v>Q4.4</v>
      </c>
      <c r="F4" s="68" t="str">
        <f>HYPERLINK("#'Life,Accident,Critical Illness'!D2","Number of life assurance or death benefit designs, types or levels provided")</f>
        <v>Number of life assurance or death benefit designs, types or levels provided</v>
      </c>
      <c r="G4" s="55" t="str">
        <f>HYPERLINK("#'Short &amp; Long Term Disability'!D1","Q5.5")</f>
        <v>Q5.5</v>
      </c>
      <c r="H4" s="49" t="str">
        <f>HYPERLINK("#'Short &amp; Long Term Disability'!D2","Approach to insuring the supplemental short-term disability benefit")</f>
        <v>Approach to insuring the supplemental short-term disability benefit</v>
      </c>
      <c r="I4" s="67" t="str">
        <f>HYPERLINK("#'Retirement'!D1","Q6.4")</f>
        <v>Q6.4</v>
      </c>
      <c r="J4" s="68" t="str">
        <f>HYPERLINK("#'Retirement'!D2","Offer an alternative to pension contributions for higher paid employees who are affected by the tapered annual allowance")</f>
        <v>Offer an alternative to pension contributions for higher paid employees who are affected by the tapered annual allowance</v>
      </c>
      <c r="K4" s="67" t="str">
        <f>HYPERLINK("#'Wellness'!D1","Q7.4")</f>
        <v>Q7.4</v>
      </c>
      <c r="L4" s="68" t="str">
        <f>HYPERLINK("#'Wellness'!D2","Methods for integrating emotional wellness into general medical and wellness programs")</f>
        <v>Methods for integrating emotional wellness into general medical and wellness programs</v>
      </c>
      <c r="M4" s="55" t="str">
        <f>HYPERLINK("#'EAP'!D1","Q8.4")</f>
        <v>Q8.4</v>
      </c>
      <c r="N4" s="49" t="str">
        <f>HYPERLINK("#'EAP'!D2","Number of EAP sessions offered per incident")</f>
        <v>Number of EAP sessions offered per incident</v>
      </c>
      <c r="O4" s="67" t="str">
        <f>HYPERLINK("#'Leaves'!D1","Q9.5")</f>
        <v>Q9.5</v>
      </c>
      <c r="P4" s="68" t="str">
        <f>HYPERLINK("#'Leaves'!D2","How annual/privilege leave is paid")</f>
        <v>How annual/privilege leave is paid</v>
      </c>
      <c r="Q4" s="78" t="str">
        <f>HYPERLINK("#'Voluntary Benefits'!D1","Q10.5")</f>
        <v>Q10.5</v>
      </c>
      <c r="R4" s="49" t="str">
        <f>HYPERLINK("#'Voluntary Benefits'!D2","Other voluntary benefits provided")</f>
        <v>Other voluntary benefits provided</v>
      </c>
      <c r="S4" s="67" t="str">
        <f>HYPERLINK("#'Perks &amp; Allowances'!D1","Q11.4")</f>
        <v>Q11.4</v>
      </c>
      <c r="T4" s="68" t="str">
        <f>HYPERLINK("#'Perks &amp; Allowances'!D2","Employees eligible to participate in the housing or accommodation allowance program")</f>
        <v>Employees eligible to participate in the housing or accommodation allowance program</v>
      </c>
      <c r="U4" s="67" t="str">
        <f>HYPERLINK("#'Transportation Policy'!D1","Q12.3")</f>
        <v>Q12.3</v>
      </c>
      <c r="V4" s="68" t="str">
        <f>HYPERLINK("#'Transportation Policy'!D2","Frequency of reviewing the transportation policy")</f>
        <v>Frequency of reviewing the transportation policy</v>
      </c>
    </row>
    <row r="5" spans="1:22" ht="38.25" x14ac:dyDescent="0.2">
      <c r="A5" s="48" t="str">
        <f>HYPERLINK("#'Private Medical Insurance'!E1","Q2.4")</f>
        <v>Q2.4</v>
      </c>
      <c r="B5" s="58" t="str">
        <f>HYPERLINK("#'Private Medical Insurance'!E2","Provide one PMI plan to all staff or different levels of PMI plan benefits provided by position or other determining factor")</f>
        <v>Provide one PMI plan to all staff or different levels of PMI plan benefits provided by position or other determining factor</v>
      </c>
      <c r="C5" s="55" t="str">
        <f>HYPERLINK("#'Dental &amp; Vision'!E1","Q3.5_4_TEXT")</f>
        <v>Q3.5_4_TEXT</v>
      </c>
      <c r="D5" s="49" t="str">
        <f>HYPERLINK("#'Dental &amp; Vision'!E2","Other approach to insuring dental benefits")</f>
        <v>Other approach to insuring dental benefits</v>
      </c>
      <c r="E5" s="67" t="str">
        <f>HYPERLINK("#'Life,Accident,Critical Illness'!E1","Q4.5")</f>
        <v>Q4.5</v>
      </c>
      <c r="F5" s="68" t="str">
        <f>HYPERLINK("#'Life,Accident,Critical Illness'!E2","Allow employees to increase or decrease their coverage level via flex")</f>
        <v>Allow employees to increase or decrease their coverage level via flex</v>
      </c>
      <c r="G5" s="55" t="str">
        <f>HYPERLINK("#'Short &amp; Long Term Disability'!E1","Q5.5_3_TEXT")</f>
        <v>Q5.5_3_TEXT</v>
      </c>
      <c r="H5" s="49" t="str">
        <f>HYPERLINK("#'Short &amp; Long Term Disability'!E2","Other approach to insuring the supplemental short-term disability benefit")</f>
        <v>Other approach to insuring the supplemental short-term disability benefit</v>
      </c>
      <c r="I5" s="67" t="str">
        <f>HYPERLINK("#'Retirement'!E1","Q6.5")</f>
        <v>Q6.5</v>
      </c>
      <c r="J5" s="68" t="str">
        <f>HYPERLINK("#'Retirement'!E2","Alternative provided")</f>
        <v>Alternative provided</v>
      </c>
      <c r="K5" s="67" t="str">
        <f>HYPERLINK("#'Wellness'!E1","Q7.4_9_TEXT")</f>
        <v>Q7.4_9_TEXT</v>
      </c>
      <c r="L5" s="68" t="str">
        <f>HYPERLINK("#'Wellness'!E2","Other methods for integrating emotional wellness into general medical and wellness programs")</f>
        <v>Other methods for integrating emotional wellness into general medical and wellness programs</v>
      </c>
      <c r="M5" s="55" t="str">
        <f>HYPERLINK("#'EAP'!E1","Q8.5")</f>
        <v>Q8.5</v>
      </c>
      <c r="N5" s="49" t="str">
        <f>HYPERLINK("#'EAP'!E2","Number of EAP sessions offered per year")</f>
        <v>Number of EAP sessions offered per year</v>
      </c>
      <c r="O5" s="67" t="str">
        <f>HYPERLINK("#'Leaves'!E1","Q9.6")</f>
        <v>Q9.6</v>
      </c>
      <c r="P5" s="68" t="str">
        <f>HYPERLINK("#'Leaves'!E2","Employees eligible to participate in your annual/privilege leave plan")</f>
        <v>Employees eligible to participate in your annual/privilege leave plan</v>
      </c>
      <c r="Q5" s="78" t="str">
        <f>HYPERLINK("#'Voluntary Benefits'!E1","Q10.6")</f>
        <v>Q10.6</v>
      </c>
      <c r="R5" s="49" t="str">
        <f>HYPERLINK("#'Voluntary Benefits'!E2","Have voluntary benefits for which only executives are eligible to participate")</f>
        <v>Have voluntary benefits for which only executives are eligible to participate</v>
      </c>
      <c r="S5" s="67" t="str">
        <f>HYPERLINK("#'Perks &amp; Allowances'!E1","Q11.4_8_TEXT")</f>
        <v>Q11.4_8_TEXT</v>
      </c>
      <c r="T5" s="68" t="str">
        <f>HYPERLINK("#'Perks &amp; Allowances'!E2","Other employees eligible to participate in the housing or accommodation allowance program")</f>
        <v>Other employees eligible to participate in the housing or accommodation allowance program</v>
      </c>
      <c r="U5" s="67" t="str">
        <f>HYPERLINK("#'Transportation Policy'!E1","Q12.4")</f>
        <v>Q12.4</v>
      </c>
      <c r="V5" s="68" t="str">
        <f>HYPERLINK("#'Transportation Policy'!E2","How often the transportation policy is reviewed")</f>
        <v>How often the transportation policy is reviewed</v>
      </c>
    </row>
    <row r="6" spans="1:22" ht="51.75" thickBot="1" x14ac:dyDescent="0.25">
      <c r="A6" s="48" t="str">
        <f>HYPERLINK("#'Private Medical Insurance'!F1","Q2.5")</f>
        <v>Q2.5</v>
      </c>
      <c r="B6" s="58" t="str">
        <f>HYPERLINK("#'Private Medical Insurance'!F2","Description of the different levels")</f>
        <v>Description of the different levels</v>
      </c>
      <c r="C6" s="55" t="str">
        <f>HYPERLINK("#'Dental &amp; Vision'!F1","Q3.6")</f>
        <v>Q3.6</v>
      </c>
      <c r="D6" s="49" t="str">
        <f>HYPERLINK("#'Dental &amp; Vision'!F2","Type of carrier insured dental policy")</f>
        <v>Type of carrier insured dental policy</v>
      </c>
      <c r="E6" s="67" t="str">
        <f>HYPERLINK("#'Life,Accident,Critical Illness'!F1","Q4.7")</f>
        <v>Q4.7</v>
      </c>
      <c r="F6" s="68" t="str">
        <f>HYPERLINK("#'Life,Accident,Critical Illness'!F2","Employees eligible to participate in the supplemental life assurance or death benefit plan")</f>
        <v>Employees eligible to participate in the supplemental life assurance or death benefit plan</v>
      </c>
      <c r="G6" s="55" t="str">
        <f>HYPERLINK("#'Short &amp; Long Term Disability'!F1","Q5.6")</f>
        <v>Q5.6</v>
      </c>
      <c r="H6" s="49" t="str">
        <f>HYPERLINK("#'Short &amp; Long Term Disability'!F2","Type of short-term disability benefits policy")</f>
        <v>Type of short-term disability benefits policy</v>
      </c>
      <c r="I6" s="67" t="str">
        <f>HYPERLINK("#'Retirement'!F1","Q6.6")</f>
        <v>Q6.6</v>
      </c>
      <c r="J6" s="68" t="str">
        <f>HYPERLINK("#'Retirement'!F2","Governance approach of the pension plan(s)")</f>
        <v>Governance approach of the pension plan(s)</v>
      </c>
      <c r="K6" s="67" t="str">
        <f>HYPERLINK("#'Wellness'!F1","Q7.5")</f>
        <v>Q7.5</v>
      </c>
      <c r="L6" s="68" t="str">
        <f>HYPERLINK("#'Wellness'!F2","Methods for tracking employees' engagement and loyalty")</f>
        <v>Methods for tracking employees' engagement and loyalty</v>
      </c>
      <c r="M6" s="55" t="str">
        <f>HYPERLINK("#'EAP'!F1","Q8.6")</f>
        <v>Q8.6</v>
      </c>
      <c r="N6" s="49" t="str">
        <f>HYPERLINK("#'EAP'!F2","Added additional EAP services in the last year")</f>
        <v>Added additional EAP services in the last year</v>
      </c>
      <c r="O6" s="67" t="str">
        <f>HYPERLINK("#'Leaves'!F1","Q9.6_8_TEXT")</f>
        <v>Q9.6_8_TEXT</v>
      </c>
      <c r="P6" s="68" t="str">
        <f>HYPERLINK("#'Leaves'!F2","Other employees eligible to participate in your annual/privilege leave plan")</f>
        <v>Other employees eligible to participate in your annual/privilege leave plan</v>
      </c>
      <c r="Q6" s="79" t="str">
        <f>HYPERLINK("#'Voluntary Benefits'!F1","Q10.7")</f>
        <v>Q10.7</v>
      </c>
      <c r="R6" s="72" t="str">
        <f>HYPERLINK("#'Voluntary Benefits'!F2","Description of the voluntary benefits for which only executives are eligible to participate")</f>
        <v>Description of the voluntary benefits for which only executives are eligible to participate</v>
      </c>
      <c r="S6" s="67" t="str">
        <f>HYPERLINK("#'Perks &amp; Allowances'!F1","Q11.5")</f>
        <v>Q11.5</v>
      </c>
      <c r="T6" s="68" t="str">
        <f>HYPERLINK("#'Perks &amp; Allowances'!F2","Number of days required before new employees are eligible for the housing or accommodation allowance program")</f>
        <v>Number of days required before new employees are eligible for the housing or accommodation allowance program</v>
      </c>
      <c r="U6" s="67" t="str">
        <f>HYPERLINK("#'Transportation Policy'!F1","Q12.5_1")</f>
        <v>Q12.5_1</v>
      </c>
      <c r="V6" s="68" t="str">
        <f>HYPERLINK("#'Transportation Policy'!F2","Steps taken towards promoting or implementing a greener transportation program - Limited or reduced the number of company car")</f>
        <v>Steps taken towards promoting or implementing a greener transportation program - Limited or reduced the number of company car</v>
      </c>
    </row>
    <row r="7" spans="1:22" ht="51" x14ac:dyDescent="0.2">
      <c r="A7" s="48" t="str">
        <f>HYPERLINK("#'Private Medical Insurance'!G1","Q2.6")</f>
        <v>Q2.6</v>
      </c>
      <c r="B7" s="58" t="str">
        <f>HYPERLINK("#'Private Medical Insurance'!G2","Roles eligible to receive PMI ")</f>
        <v xml:space="preserve">Roles eligible to receive PMI </v>
      </c>
      <c r="C7" s="55" t="str">
        <f>HYPERLINK("#'Dental &amp; Vision'!G1","Q3.6_4_TEXT")</f>
        <v>Q3.6_4_TEXT</v>
      </c>
      <c r="D7" s="49" t="str">
        <f>HYPERLINK("#'Dental &amp; Vision'!G2","Other type of carrier insured dental policy")</f>
        <v>Other type of carrier insured dental policy</v>
      </c>
      <c r="E7" s="67" t="str">
        <f>HYPERLINK("#'Life,Accident,Critical Illness'!G1","Q4.7_8_TEXT")</f>
        <v>Q4.7_8_TEXT</v>
      </c>
      <c r="F7" s="68" t="str">
        <f>HYPERLINK("#'Life,Accident,Critical Illness'!G2","Other employees eligible to participate in the supplemental life assurance or death benefit plan")</f>
        <v>Other employees eligible to participate in the supplemental life assurance or death benefit plan</v>
      </c>
      <c r="G7" s="55" t="str">
        <f>HYPERLINK("#'Short &amp; Long Term Disability'!G1","Q5.6_4_TEXT")</f>
        <v>Q5.6_4_TEXT</v>
      </c>
      <c r="H7" s="49" t="str">
        <f>HYPERLINK("#'Short &amp; Long Term Disability'!G2","Other type of short-term disability benefits policy")</f>
        <v>Other type of short-term disability benefits policy</v>
      </c>
      <c r="I7" s="67" t="str">
        <f>HYPERLINK("#'Retirement'!G1","Q6.7")</f>
        <v>Q6.7</v>
      </c>
      <c r="J7" s="68" t="str">
        <f>HYPERLINK("#'Retirement'!G2","Other governance approach of the pension plan(s)")</f>
        <v>Other governance approach of the pension plan(s)</v>
      </c>
      <c r="K7" s="67" t="str">
        <f>HYPERLINK("#'Wellness'!G1","Q7.5_7_TEXT")</f>
        <v>Q7.5_7_TEXT</v>
      </c>
      <c r="L7" s="68" t="str">
        <f>HYPERLINK("#'Wellness'!G2","Other methods for tracking employees' engagement and loyalty")</f>
        <v>Other methods for tracking employees' engagement and loyalty</v>
      </c>
      <c r="M7" s="55" t="str">
        <f>HYPERLINK("#'EAP'!G1","Q8.7")</f>
        <v>Q8.7</v>
      </c>
      <c r="N7" s="49" t="str">
        <f>HYPERLINK("#'EAP'!G2","Additional services added")</f>
        <v>Additional services added</v>
      </c>
      <c r="O7" s="67" t="str">
        <f>HYPERLINK("#'Leaves'!G1","Q9.7")</f>
        <v>Q9.7</v>
      </c>
      <c r="P7" s="68" t="str">
        <f>HYPERLINK("#'Leaves'!G2","Number of days required before new employees are eligible for annual/privilege leave")</f>
        <v>Number of days required before new employees are eligible for annual/privilege leave</v>
      </c>
      <c r="Q7" s="73"/>
      <c r="R7" s="74"/>
      <c r="S7" s="67" t="str">
        <f>HYPERLINK("#'Perks &amp; Allowances'!G1","Q11.6")</f>
        <v>Q11.6</v>
      </c>
      <c r="T7" s="68" t="str">
        <f>HYPERLINK("#'Perks &amp; Allowances'!G2","Annual maximum benefit in GBP, if any, for the housing or accommodation allowance program")</f>
        <v>Annual maximum benefit in GBP, if any, for the housing or accommodation allowance program</v>
      </c>
      <c r="U7" s="67" t="str">
        <f>HYPERLINK("#'Transportation Policy'!G1","Q12.5_2")</f>
        <v>Q12.5_2</v>
      </c>
      <c r="V7" s="68" t="str">
        <f>HYPERLINK("#'Transportation Policy'!G2","Steps taken towards promoting or implementing a greener transportation program - Added hybrid or electric vehicles to company car fleet ")</f>
        <v xml:space="preserve">Steps taken towards promoting or implementing a greener transportation program - Added hybrid or electric vehicles to company car fleet </v>
      </c>
    </row>
    <row r="8" spans="1:22" ht="51" x14ac:dyDescent="0.2">
      <c r="A8" s="48" t="str">
        <f>HYPERLINK("#'Private Medical Insurance'!H1","Q2.7")</f>
        <v>Q2.7</v>
      </c>
      <c r="B8" s="58" t="str">
        <f>HYPERLINK("#'Private Medical Insurance'!H2","Type of benefits provided to dependents are the same as those provided to employees")</f>
        <v>Type of benefits provided to dependents are the same as those provided to employees</v>
      </c>
      <c r="C8" s="55" t="str">
        <f>HYPERLINK("#'Dental &amp; Vision'!H1","Q3.7")</f>
        <v>Q3.7</v>
      </c>
      <c r="D8" s="49" t="str">
        <f>HYPERLINK("#'Dental &amp; Vision'!H2","Description of the other policy that carrier insured dental plan is a rider to ")</f>
        <v xml:space="preserve">Description of the other policy that carrier insured dental plan is a rider to </v>
      </c>
      <c r="E8" s="67" t="str">
        <f>HYPERLINK("#'Life,Accident,Critical Illness'!H1","Q4.8")</f>
        <v>Q4.8</v>
      </c>
      <c r="F8" s="68" t="str">
        <f>HYPERLINK("#'Life,Accident,Critical Illness'!H2","Part-time employees eligible to participate in the supplemental life assurance or death benefit plan")</f>
        <v>Part-time employees eligible to participate in the supplemental life assurance or death benefit plan</v>
      </c>
      <c r="G8" s="55" t="str">
        <f>HYPERLINK("#'Short &amp; Long Term Disability'!H1","Q5.7")</f>
        <v>Q5.7</v>
      </c>
      <c r="H8" s="49" t="str">
        <f>HYPERLINK("#'Short &amp; Long Term Disability'!H2","Description of the other policy that the carrier insured short-term disability policy is a rider to")</f>
        <v>Description of the other policy that the carrier insured short-term disability policy is a rider to</v>
      </c>
      <c r="I8" s="67" t="str">
        <f>HYPERLINK("#'Retirement'!H1","Q6.9")</f>
        <v>Q6.9</v>
      </c>
      <c r="J8" s="68" t="str">
        <f>HYPERLINK("#'Retirement'!H2","Provide different defined contribution plan designs, types or levels")</f>
        <v>Provide different defined contribution plan designs, types or levels</v>
      </c>
      <c r="K8" s="67" t="str">
        <f>HYPERLINK("#'Wellness'!H1","Q7.6")</f>
        <v>Q7.6</v>
      </c>
      <c r="L8" s="68" t="str">
        <f>HYPERLINK("#'Wellness'!H2","Methods for embedding health and wellbeing in the organization's structure")</f>
        <v>Methods for embedding health and wellbeing in the organization's structure</v>
      </c>
      <c r="M8" s="55" t="str">
        <f>HYPERLINK("#'EAP'!H1","Q8.8")</f>
        <v>Q8.8</v>
      </c>
      <c r="N8" s="49" t="str">
        <f>HYPERLINK("#'EAP'!H2","Areas included in EAP coverage")</f>
        <v>Areas included in EAP coverage</v>
      </c>
      <c r="O8" s="67" t="str">
        <f>HYPERLINK("#'Leaves'!H1","Q9.8")</f>
        <v>Q9.8</v>
      </c>
      <c r="P8" s="68" t="str">
        <f>HYPERLINK("#'Leaves'!H2","All employees receive the same amount of annual or privilege leave ")</f>
        <v xml:space="preserve">All employees receive the same amount of annual or privilege leave </v>
      </c>
      <c r="S8" s="67" t="str">
        <f>HYPERLINK("#'Perks &amp; Allowances'!H1","Q11.7")</f>
        <v>Q11.7</v>
      </c>
      <c r="T8" s="68" t="str">
        <f>HYPERLINK("#'Perks &amp; Allowances'!H2","Relocation assistance policy")</f>
        <v>Relocation assistance policy</v>
      </c>
      <c r="U8" s="67" t="str">
        <f>HYPERLINK("#'Transportation Policy'!H1","Q12.5_3")</f>
        <v>Q12.5_3</v>
      </c>
      <c r="V8" s="68" t="str">
        <f>HYPERLINK("#'Transportation Policy'!H2","Steps taken towards promoting or implementing a greener transportation program - Limited vehicle options to those with lower CO2 emissions ")</f>
        <v xml:space="preserve">Steps taken towards promoting or implementing a greener transportation program - Limited vehicle options to those with lower CO2 emissions </v>
      </c>
    </row>
    <row r="9" spans="1:22" ht="51" x14ac:dyDescent="0.2">
      <c r="A9" s="48" t="str">
        <f>HYPERLINK("#'Private Medical Insurance'!I1","Q2.8")</f>
        <v>Q2.8</v>
      </c>
      <c r="B9" s="58" t="str">
        <f>HYPERLINK("#'Private Medical Insurance'!I2","How the benefits provided to dependents are different from those provided to employees")</f>
        <v>How the benefits provided to dependents are different from those provided to employees</v>
      </c>
      <c r="C9" s="55" t="str">
        <f>HYPERLINK("#'Dental &amp; Vision'!I1","Q3.8")</f>
        <v>Q3.8</v>
      </c>
      <c r="D9" s="49" t="str">
        <f>HYPERLINK("#'Dental &amp; Vision'!I2","Have different levels or plan designs for dental benefit ")</f>
        <v xml:space="preserve">Have different levels or plan designs for dental benefit </v>
      </c>
      <c r="E9" s="67" t="str">
        <f>HYPERLINK("#'Life,Accident,Critical Illness'!I1","Q4.9")</f>
        <v>Q4.9</v>
      </c>
      <c r="F9" s="68" t="str">
        <f>HYPERLINK("#'Life,Accident,Critical Illness'!I2","Minimum hourly eligibility requirement for part-time employees per week")</f>
        <v>Minimum hourly eligibility requirement for part-time employees per week</v>
      </c>
      <c r="G9" s="55" t="str">
        <f>HYPERLINK("#'Short &amp; Long Term Disability'!I1","Q5.8")</f>
        <v>Q5.8</v>
      </c>
      <c r="H9" s="49" t="str">
        <f>HYPERLINK("#'Short &amp; Long Term Disability'!I2","Provide different short-term disability benefit insurance plan designs, types or levels")</f>
        <v>Provide different short-term disability benefit insurance plan designs, types or levels</v>
      </c>
      <c r="I9" s="67" t="str">
        <f>HYPERLINK("#'Retirement'!I1","Q6.10")</f>
        <v>Q6.10</v>
      </c>
      <c r="J9" s="68" t="str">
        <f>HYPERLINK("#'Retirement'!I2","Number of defined contribution plans")</f>
        <v>Number of defined contribution plans</v>
      </c>
      <c r="K9" s="67" t="str">
        <f>HYPERLINK("#'Wellness'!I1","Q7.6_6_TEXT")</f>
        <v>Q7.6_6_TEXT</v>
      </c>
      <c r="L9" s="68" t="str">
        <f>HYPERLINK("#'Wellness'!I2","Other methods for embedding health and wellbeing in the organization's structure")</f>
        <v>Other methods for embedding health and wellbeing in the organization's structure</v>
      </c>
      <c r="M9" s="55" t="str">
        <f>HYPERLINK("#'EAP'!I1","Q8.8_16_TEXT")</f>
        <v>Q8.8_16_TEXT</v>
      </c>
      <c r="N9" s="49" t="str">
        <f>HYPERLINK("#'EAP'!I2","Other areas included in EAP coverage")</f>
        <v>Other areas included in EAP coverage</v>
      </c>
      <c r="O9" s="67" t="str">
        <f>HYPERLINK("#'Leaves'!I1","Q9.9")</f>
        <v>Q9.9</v>
      </c>
      <c r="P9" s="68" t="str">
        <f>HYPERLINK("#'Leaves'!I2","Annual/privilege leave an employee is entitled to, in weeks")</f>
        <v>Annual/privilege leave an employee is entitled to, in weeks</v>
      </c>
      <c r="S9" s="67" t="str">
        <f>HYPERLINK("#'Perks &amp; Allowances'!I1","Q11.8")</f>
        <v>Q11.8</v>
      </c>
      <c r="T9" s="68" t="str">
        <f>HYPERLINK("#'Perks &amp; Allowances'!I2","Employees eligible to participate in the relocation assistance program")</f>
        <v>Employees eligible to participate in the relocation assistance program</v>
      </c>
      <c r="U9" s="67" t="str">
        <f>HYPERLINK("#'Transportation Policy'!I1","Q12.5_4")</f>
        <v>Q12.5_4</v>
      </c>
      <c r="V9" s="68" t="str">
        <f>HYPERLINK("#'Transportation Policy'!I2","Steps taken towards promoting or implementing a greener transportation program - Offered subsidies or allowances for public transportation")</f>
        <v>Steps taken towards promoting or implementing a greener transportation program - Offered subsidies or allowances for public transportation</v>
      </c>
    </row>
    <row r="10" spans="1:22" ht="51" x14ac:dyDescent="0.2">
      <c r="A10" s="48" t="str">
        <f>HYPERLINK("#'Private Medical Insurance'!J1","Q2.9")</f>
        <v>Q2.9</v>
      </c>
      <c r="B10" s="58" t="str">
        <f>HYPERLINK("#'Private Medical Insurance'!J2","PMI benefit has different levels/plan designs")</f>
        <v>PMI benefit has different levels/plan designs</v>
      </c>
      <c r="C10" s="55" t="str">
        <f>HYPERLINK("#'Dental &amp; Vision'!J1","Q3.9")</f>
        <v>Q3.9</v>
      </c>
      <c r="D10" s="49" t="str">
        <f>HYPERLINK("#'Dental &amp; Vision'!J2","Number of different levels or plan designs within the dental benefit")</f>
        <v>Number of different levels or plan designs within the dental benefit</v>
      </c>
      <c r="E10" s="67" t="str">
        <f>HYPERLINK("#'Life,Accident,Critical Illness'!J1","Q4.10")</f>
        <v>Q4.10</v>
      </c>
      <c r="F10" s="68" t="str">
        <f>HYPERLINK("#'Life,Accident,Critical Illness'!J2","Types of compensation eligible under the plan")</f>
        <v>Types of compensation eligible under the plan</v>
      </c>
      <c r="G10" s="55" t="str">
        <f>HYPERLINK("#'Short &amp; Long Term Disability'!J1","Q5.9")</f>
        <v>Q5.9</v>
      </c>
      <c r="H10" s="49" t="str">
        <f>HYPERLINK("#'Short &amp; Long Term Disability'!J2","Number of short-term disability benefit plan designs or levels the company has")</f>
        <v>Number of short-term disability benefit plan designs or levels the company has</v>
      </c>
      <c r="I10" s="67" t="str">
        <f>HYPERLINK("#'Retirement'!J1","Q6.12")</f>
        <v>Q6.12</v>
      </c>
      <c r="J10" s="68" t="str">
        <f>HYPERLINK("#'Retirement'!J2","Employees eligible to participate in the defined contribution plan")</f>
        <v>Employees eligible to participate in the defined contribution plan</v>
      </c>
      <c r="K10" s="67" t="str">
        <f>HYPERLINK("#'Wellness'!J1","Q7.7")</f>
        <v>Q7.7</v>
      </c>
      <c r="L10" s="68" t="str">
        <f>HYPERLINK("#'Wellness'!J2","Wellbeing programs offered")</f>
        <v>Wellbeing programs offered</v>
      </c>
      <c r="M10" s="55" t="str">
        <f>HYPERLINK("#'EAP'!J1","Q8.9")</f>
        <v>Q8.9</v>
      </c>
      <c r="N10" s="49" t="str">
        <f>HYPERLINK("#'EAP'!J2","Methods for accessing the EAP vendor's services")</f>
        <v>Methods for accessing the EAP vendor's services</v>
      </c>
      <c r="O10" s="67" t="str">
        <f>HYPERLINK("#'Leaves'!J1","Q9.10")</f>
        <v>Q9.10</v>
      </c>
      <c r="P10" s="68" t="str">
        <f>HYPERLINK("#'Leaves'!J2","Allow annual or privilege leave to be carried forward to the next year")</f>
        <v>Allow annual or privilege leave to be carried forward to the next year</v>
      </c>
      <c r="S10" s="67" t="str">
        <f>HYPERLINK("#'Perks &amp; Allowances'!J1","Q11.8_8_TEXT")</f>
        <v>Q11.8_8_TEXT</v>
      </c>
      <c r="T10" s="68" t="str">
        <f>HYPERLINK("#'Perks &amp; Allowances'!J2","Other employees eligible to participate in the relocation assistance program")</f>
        <v>Other employees eligible to participate in the relocation assistance program</v>
      </c>
      <c r="U10" s="67" t="str">
        <f>HYPERLINK("#'Transportation Policy'!J1","Q12.5_5")</f>
        <v>Q12.5_5</v>
      </c>
      <c r="V10" s="68" t="str">
        <f>HYPERLINK("#'Transportation Policy'!J2","Steps taken towards promoting or implementing a greener transportation program - Actively promoted other transportation (e.g., car pools, bicycles, etc.) ")</f>
        <v xml:space="preserve">Steps taken towards promoting or implementing a greener transportation program - Actively promoted other transportation (e.g., car pools, bicycles, etc.) </v>
      </c>
    </row>
    <row r="11" spans="1:22" ht="38.25" x14ac:dyDescent="0.2">
      <c r="A11" s="48" t="str">
        <f>HYPERLINK("#'Private Medical Insurance'!K1","Q2.10")</f>
        <v>Q2.10</v>
      </c>
      <c r="B11" s="58" t="str">
        <f>HYPERLINK("#'Private Medical Insurance'!K2","Number of different PMI levels/plan designs ")</f>
        <v xml:space="preserve">Number of different PMI levels/plan designs </v>
      </c>
      <c r="C11" s="55" t="str">
        <f>HYPERLINK("#'Dental &amp; Vision'!K1","Q3.10")</f>
        <v>Q3.10</v>
      </c>
      <c r="D11" s="49" t="str">
        <f>HYPERLINK("#'Dental &amp; Vision'!K2","Employees can choose their dental level of coverage")</f>
        <v>Employees can choose their dental level of coverage</v>
      </c>
      <c r="E11" s="67" t="str">
        <f>HYPERLINK("#'Life,Accident,Critical Illness'!K1","Q4.10_7_TEXT")</f>
        <v>Q4.10_7_TEXT</v>
      </c>
      <c r="F11" s="68" t="str">
        <f>HYPERLINK("#'Life,Accident,Critical Illness'!K2","Other types of compensation eligible under the plan")</f>
        <v>Other types of compensation eligible under the plan</v>
      </c>
      <c r="G11" s="55" t="str">
        <f>HYPERLINK("#'Short &amp; Long Term Disability'!K1","Q5.11")</f>
        <v>Q5.11</v>
      </c>
      <c r="H11" s="49" t="str">
        <f>HYPERLINK("#'Short &amp; Long Term Disability'!K2","Employees eligible to participate in the short-term disability plan")</f>
        <v>Employees eligible to participate in the short-term disability plan</v>
      </c>
      <c r="I11" s="67" t="str">
        <f>HYPERLINK("#'Retirement'!K1","Q6.12_8_TEXT")</f>
        <v>Q6.12_8_TEXT</v>
      </c>
      <c r="J11" s="68" t="str">
        <f>HYPERLINK("#'Retirement'!K2","Other employees that are eligible to participate in the defined contribution plan")</f>
        <v>Other employees that are eligible to participate in the defined contribution plan</v>
      </c>
      <c r="K11" s="67" t="str">
        <f>HYPERLINK("#'Wellness'!K1","Q7.7_17_TEXT")</f>
        <v>Q7.7_17_TEXT</v>
      </c>
      <c r="L11" s="68" t="str">
        <f>HYPERLINK("#'Wellness'!K2","Other wellbeing programs offered")</f>
        <v>Other wellbeing programs offered</v>
      </c>
      <c r="M11" s="55" t="str">
        <f>HYPERLINK("#'EAP'!K1","Q8.9_7_TEXT")</f>
        <v>Q8.9_7_TEXT</v>
      </c>
      <c r="N11" s="49" t="str">
        <f>HYPERLINK("#'EAP'!K2","Other methods for accessing the EAP vendor's services")</f>
        <v>Other methods for accessing the EAP vendor's services</v>
      </c>
      <c r="O11" s="67" t="str">
        <f>HYPERLINK("#'Leaves'!K1","Q9.11")</f>
        <v>Q9.11</v>
      </c>
      <c r="P11" s="68" t="str">
        <f>HYPERLINK("#'Leaves'!K2","Have a maximum number of days that can be carried forward")</f>
        <v>Have a maximum number of days that can be carried forward</v>
      </c>
      <c r="S11" s="67" t="str">
        <f>HYPERLINK("#'Perks &amp; Allowances'!K1","Q11.9")</f>
        <v>Q11.9</v>
      </c>
      <c r="T11" s="68" t="str">
        <f>HYPERLINK("#'Perks &amp; Allowances'!K2","Number of days required before new employees are eligible for the relocation assistance program")</f>
        <v>Number of days required before new employees are eligible for the relocation assistance program</v>
      </c>
      <c r="U11" s="67" t="str">
        <f>HYPERLINK("#'Transportation Policy'!K1","Q12.6")</f>
        <v>Q12.6</v>
      </c>
      <c r="V11" s="68" t="str">
        <f>HYPERLINK("#'Transportation Policy'!K2","Offer free charging stations for electric vehicles")</f>
        <v>Offer free charging stations for electric vehicles</v>
      </c>
    </row>
    <row r="12" spans="1:22" ht="38.25" x14ac:dyDescent="0.2">
      <c r="A12" s="48" t="str">
        <f>HYPERLINK("#'Private Medical Insurance'!L1","Q2.11")</f>
        <v>Q2.11</v>
      </c>
      <c r="B12" s="58" t="str">
        <f>HYPERLINK("#'Private Medical Insurance'!L2","Employees can choose their PMI level of coverage")</f>
        <v>Employees can choose their PMI level of coverage</v>
      </c>
      <c r="C12" s="55" t="str">
        <f>HYPERLINK("#'Dental &amp; Vision'!L1","Q3.10_3_TEXT")</f>
        <v>Q3.10_3_TEXT</v>
      </c>
      <c r="D12" s="49" t="str">
        <f>HYPERLINK("#'Dental &amp; Vision'!L2","Other choices for the dental level of coverage")</f>
        <v>Other choices for the dental level of coverage</v>
      </c>
      <c r="E12" s="67" t="str">
        <f>HYPERLINK("#'Life,Accident,Critical Illness'!L1","Q4.11")</f>
        <v>Q4.11</v>
      </c>
      <c r="F12" s="68" t="str">
        <f>HYPERLINK("#'Life,Accident,Critical Illness'!L2","Number of days required before new employees are eligible for supplemental life assurance or death benefits")</f>
        <v>Number of days required before new employees are eligible for supplemental life assurance or death benefits</v>
      </c>
      <c r="G12" s="55" t="str">
        <f>HYPERLINK("#'Short &amp; Long Term Disability'!L1","Q5.11_8_TEXT")</f>
        <v>Q5.11_8_TEXT</v>
      </c>
      <c r="H12" s="49" t="str">
        <f>HYPERLINK("#'Short &amp; Long Term Disability'!L2","Other employees eligible to participate in the short-term disability plan")</f>
        <v>Other employees eligible to participate in the short-term disability plan</v>
      </c>
      <c r="I12" s="67" t="str">
        <f>HYPERLINK("#'Retirement'!L1","Q6.13")</f>
        <v>Q6.13</v>
      </c>
      <c r="J12" s="68" t="str">
        <f>HYPERLINK("#'Retirement'!L2","Part-time employees eligible to participate in the defined contribution plan")</f>
        <v>Part-time employees eligible to participate in the defined contribution plan</v>
      </c>
      <c r="K12" s="67" t="str">
        <f>HYPERLINK("#'Wellness'!L1","Q7.8")</f>
        <v>Q7.8</v>
      </c>
      <c r="L12" s="68" t="str">
        <f>HYPERLINK("#'Wellness'!L2","Methods for offering wellbeing programs ")</f>
        <v xml:space="preserve">Methods for offering wellbeing programs </v>
      </c>
      <c r="M12" s="55" t="str">
        <f>HYPERLINK("#'EAP'!L1","Q8.10")</f>
        <v>Q8.10</v>
      </c>
      <c r="N12" s="49" t="str">
        <f>HYPERLINK("#'EAP'!L2","Offer onsite EAP services")</f>
        <v>Offer onsite EAP services</v>
      </c>
      <c r="O12" s="67" t="str">
        <f>HYPERLINK("#'Leaves'!L1","Q9.12")</f>
        <v>Q9.12</v>
      </c>
      <c r="P12" s="68" t="str">
        <f>HYPERLINK("#'Leaves'!L2","Maximum number of days that can be carried forward")</f>
        <v>Maximum number of days that can be carried forward</v>
      </c>
      <c r="S12" s="67" t="str">
        <f>HYPERLINK("#'Perks &amp; Allowances'!L1","Q11.10")</f>
        <v>Q11.10</v>
      </c>
      <c r="T12" s="68" t="str">
        <f>HYPERLINK("#'Perks &amp; Allowances'!L2","Annual maximum benefit in GBP, if any, for the relocation assistance program")</f>
        <v>Annual maximum benefit in GBP, if any, for the relocation assistance program</v>
      </c>
      <c r="U12" s="67" t="str">
        <f>HYPERLINK("#'Transportation Policy'!L1","Q12.7")</f>
        <v>Q12.7</v>
      </c>
      <c r="V12" s="68" t="str">
        <f>HYPERLINK("#'Transportation Policy'!L2","Other steps the company is taking to ensure a greener transportation program")</f>
        <v>Other steps the company is taking to ensure a greener transportation program</v>
      </c>
    </row>
    <row r="13" spans="1:22" ht="25.5" x14ac:dyDescent="0.2">
      <c r="A13" s="48" t="str">
        <f>HYPERLINK("#'Private Medical Insurance'!M1","Q2.11_3_TEXT")</f>
        <v>Q2.11_3_TEXT</v>
      </c>
      <c r="B13" s="58" t="str">
        <f>HYPERLINK("#'Private Medical Insurance'!M2","Other choices for PMI level of coverage")</f>
        <v>Other choices for PMI level of coverage</v>
      </c>
      <c r="C13" s="55" t="str">
        <f>HYPERLINK("#'Dental &amp; Vision'!M1","Q3.11")</f>
        <v>Q3.11</v>
      </c>
      <c r="D13" s="49" t="str">
        <f>HYPERLINK("#'Dental &amp; Vision'!M2","Groups eligible to receive dental benefits")</f>
        <v>Groups eligible to receive dental benefits</v>
      </c>
      <c r="E13" s="67" t="str">
        <f>HYPERLINK("#'Life,Accident,Critical Illness'!M1","Q4.12")</f>
        <v>Q4.12</v>
      </c>
      <c r="F13" s="68" t="str">
        <f>HYPERLINK("#'Life,Accident,Critical Illness'!M2","Benefit formula used for the plan")</f>
        <v>Benefit formula used for the plan</v>
      </c>
      <c r="G13" s="55" t="str">
        <f>HYPERLINK("#'Short &amp; Long Term Disability'!M1","Q5.12")</f>
        <v>Q5.12</v>
      </c>
      <c r="H13" s="49" t="str">
        <f>HYPERLINK("#'Short &amp; Long Term Disability'!M2","Part-time employees eligible to participate in the short-term disability plan")</f>
        <v>Part-time employees eligible to participate in the short-term disability plan</v>
      </c>
      <c r="I13" s="67" t="str">
        <f>HYPERLINK("#'Retirement'!M1","Q6.14")</f>
        <v>Q6.14</v>
      </c>
      <c r="J13" s="68" t="str">
        <f>HYPERLINK("#'Retirement'!M2","Minimum weekly hourly eligibility requirement for part-time employees ")</f>
        <v xml:space="preserve">Minimum weekly hourly eligibility requirement for part-time employees </v>
      </c>
      <c r="K13" s="67" t="str">
        <f>HYPERLINK("#'Wellness'!M1","Q7.8_6_TEXT")</f>
        <v>Q7.8_6_TEXT</v>
      </c>
      <c r="L13" s="68" t="str">
        <f>HYPERLINK("#'Wellness'!M2","Other methods for offering wellbeing programs ")</f>
        <v xml:space="preserve">Other methods for offering wellbeing programs </v>
      </c>
      <c r="M13" s="55" t="str">
        <f>HYPERLINK("#'EAP'!M1","Q8.11")</f>
        <v>Q8.11</v>
      </c>
      <c r="N13" s="49" t="str">
        <f>HYPERLINK("#'EAP'!M2","Number of onsite EAP counselors available per employee")</f>
        <v>Number of onsite EAP counselors available per employee</v>
      </c>
      <c r="O13" s="67" t="str">
        <f>HYPERLINK("#'Leaves'!M1","Q9.13")</f>
        <v>Q9.13</v>
      </c>
      <c r="P13" s="68" t="str">
        <f>HYPERLINK("#'Leaves'!M2","Treatment of days above the carry forward maximum")</f>
        <v>Treatment of days above the carry forward maximum</v>
      </c>
      <c r="S13" s="67" t="str">
        <f>HYPERLINK("#'Perks &amp; Allowances'!M1","Q11.11")</f>
        <v>Q11.11</v>
      </c>
      <c r="T13" s="68" t="str">
        <f>HYPERLINK("#'Perks &amp; Allowances'!M2","Subsidized meals policy")</f>
        <v>Subsidized meals policy</v>
      </c>
      <c r="U13" s="67" t="str">
        <f>HYPERLINK("#'Transportation Policy'!M1","Q12.8")</f>
        <v>Q12.8</v>
      </c>
      <c r="V13" s="68" t="str">
        <f>HYPERLINK("#'Transportation Policy'!M2","Benefits included in the transportation program")</f>
        <v>Benefits included in the transportation program</v>
      </c>
    </row>
    <row r="14" spans="1:22" ht="25.5" x14ac:dyDescent="0.2">
      <c r="A14" s="48" t="str">
        <f>HYPERLINK("#'Private Medical Insurance'!N1","Q2.13")</f>
        <v>Q2.13</v>
      </c>
      <c r="B14" s="58" t="str">
        <f>HYPERLINK("#'Private Medical Insurance'!N2","Employee types eligible to participate in the PMI plan")</f>
        <v>Employee types eligible to participate in the PMI plan</v>
      </c>
      <c r="C14" s="55" t="str">
        <f>HYPERLINK("#'Dental &amp; Vision'!N1","Q3.12")</f>
        <v>Q3.12</v>
      </c>
      <c r="D14" s="49" t="str">
        <f>HYPERLINK("#'Dental &amp; Vision'!N2","Provide the same type of dental benefits to dependents and employees")</f>
        <v>Provide the same type of dental benefits to dependents and employees</v>
      </c>
      <c r="E14" s="67" t="str">
        <f>HYPERLINK("#'Life,Accident,Critical Illness'!N1","Q4.13")</f>
        <v>Q4.13</v>
      </c>
      <c r="F14" s="68" t="str">
        <f>HYPERLINK("#'Life,Accident,Critical Illness'!N2","Flat amount is the same for all employees")</f>
        <v>Flat amount is the same for all employees</v>
      </c>
      <c r="G14" s="55" t="str">
        <f>HYPERLINK("#'Short &amp; Long Term Disability'!N1","Q5.13")</f>
        <v>Q5.13</v>
      </c>
      <c r="H14" s="49" t="str">
        <f>HYPERLINK("#'Short &amp; Long Term Disability'!N2","Minimum hourly eligibility requirement for part-time employees per week")</f>
        <v>Minimum hourly eligibility requirement for part-time employees per week</v>
      </c>
      <c r="I14" s="67" t="str">
        <f>HYPERLINK("#'Retirement'!N1","Q6.15")</f>
        <v>Q6.15</v>
      </c>
      <c r="J14" s="68" t="str">
        <f>HYPERLINK("#'Retirement'!N2","Types of compensation used in calculating contributions")</f>
        <v>Types of compensation used in calculating contributions</v>
      </c>
      <c r="K14" s="67" t="str">
        <f>HYPERLINK("#'Wellness'!N1","Q7.9")</f>
        <v>Q7.9</v>
      </c>
      <c r="L14" s="68" t="str">
        <f>HYPERLINK("#'Wellness'!N2","Additional information about how wellbeing programs are offered")</f>
        <v>Additional information about how wellbeing programs are offered</v>
      </c>
      <c r="M14" s="55" t="str">
        <f>HYPERLINK("#'EAP'!N1","Q8.12")</f>
        <v>Q8.12</v>
      </c>
      <c r="N14" s="49" t="str">
        <f>HYPERLINK("#'EAP'!N2","The EAP duplicates services offered through medical benefit plans")</f>
        <v>The EAP duplicates services offered through medical benefit plans</v>
      </c>
      <c r="O14" s="67" t="str">
        <f>HYPERLINK("#'Leaves'!N1","Q9.14")</f>
        <v>Q9.14</v>
      </c>
      <c r="P14" s="68" t="str">
        <f>HYPERLINK("#'Leaves'!N2","What happens to days above the carry forward limit")</f>
        <v>What happens to days above the carry forward limit</v>
      </c>
      <c r="S14" s="67" t="str">
        <f>HYPERLINK("#'Perks &amp; Allowances'!N1","Q11.12")</f>
        <v>Q11.12</v>
      </c>
      <c r="T14" s="68" t="str">
        <f>HYPERLINK("#'Perks &amp; Allowances'!N2","Employees eligible to participate in the subsidized meals program")</f>
        <v>Employees eligible to participate in the subsidized meals program</v>
      </c>
      <c r="U14" s="67" t="str">
        <f>HYPERLINK("#'Transportation Policy'!N1","Q12.8_9_TEXT")</f>
        <v>Q12.8_9_TEXT</v>
      </c>
      <c r="V14" s="68" t="str">
        <f>HYPERLINK("#'Transportation Policy'!N2","Other benefits included in the transportation program")</f>
        <v>Other benefits included in the transportation program</v>
      </c>
    </row>
    <row r="15" spans="1:22" ht="25.5" x14ac:dyDescent="0.2">
      <c r="A15" s="48" t="str">
        <f>HYPERLINK("#'Private Medical Insurance'!O1","Q2.13_8_TEXT")</f>
        <v>Q2.13_8_TEXT</v>
      </c>
      <c r="B15" s="58" t="str">
        <f>HYPERLINK("#'Private Medical Insurance'!O2","Other employee types eligible to participate in this PMI plan")</f>
        <v>Other employee types eligible to participate in this PMI plan</v>
      </c>
      <c r="C15" s="55" t="str">
        <f>HYPERLINK("#'Dental &amp; Vision'!O1","Q3.13")</f>
        <v>Q3.13</v>
      </c>
      <c r="D15" s="49" t="str">
        <f>HYPERLINK("#'Dental &amp; Vision'!O2","How the benefits provided to dependents different from those provided to employees")</f>
        <v>How the benefits provided to dependents different from those provided to employees</v>
      </c>
      <c r="E15" s="67" t="str">
        <f>HYPERLINK("#'Life,Accident,Critical Illness'!O1","Q4.14")</f>
        <v>Q4.14</v>
      </c>
      <c r="F15" s="68" t="str">
        <f>HYPERLINK("#'Life,Accident,Critical Illness'!O2","Flat amount of the benefit provided in GBP")</f>
        <v>Flat amount of the benefit provided in GBP</v>
      </c>
      <c r="G15" s="55" t="str">
        <f>HYPERLINK("#'Short &amp; Long Term Disability'!O1","Q5.14")</f>
        <v>Q5.14</v>
      </c>
      <c r="H15" s="49" t="str">
        <f>HYPERLINK("#'Short &amp; Long Term Disability'!O2","Types of compensation eligible under the short-term disability plan")</f>
        <v>Types of compensation eligible under the short-term disability plan</v>
      </c>
      <c r="I15" s="67" t="str">
        <f>HYPERLINK("#'Retirement'!O1","Q6.15_6_TEXT")</f>
        <v>Q6.15_6_TEXT</v>
      </c>
      <c r="J15" s="68" t="str">
        <f>HYPERLINK("#'Retirement'!O2","Other types of compensation used in calculating contributions")</f>
        <v>Other types of compensation used in calculating contributions</v>
      </c>
      <c r="K15" s="67" t="str">
        <f>HYPERLINK("#'Wellness'!O1","Q7.10")</f>
        <v>Q7.10</v>
      </c>
      <c r="L15" s="68" t="str">
        <f>HYPERLINK("#'Wellness'!O2","Methods for measuring the engagement and success of wellbeing programs")</f>
        <v>Methods for measuring the engagement and success of wellbeing programs</v>
      </c>
      <c r="M15" s="55" t="str">
        <f>HYPERLINK("#'EAP'!O1","Q8.13")</f>
        <v>Q8.13</v>
      </c>
      <c r="N15" s="49" t="str">
        <f>HYPERLINK("#'EAP'!O2","Offer any counseling services outside of the EAP and PMI")</f>
        <v>Offer any counseling services outside of the EAP and PMI</v>
      </c>
      <c r="O15" s="67" t="str">
        <f>HYPERLINK("#'Leaves'!O1","Q9.15")</f>
        <v>Q9.15</v>
      </c>
      <c r="P15" s="68" t="str">
        <f>HYPERLINK("#'Leaves'!O2","Have a time limit on when the carry forward days must be used")</f>
        <v>Have a time limit on when the carry forward days must be used</v>
      </c>
      <c r="S15" s="67" t="str">
        <f>HYPERLINK("#'Perks &amp; Allowances'!O1","Q11.12_8_TEXT")</f>
        <v>Q11.12_8_TEXT</v>
      </c>
      <c r="T15" s="68" t="str">
        <f>HYPERLINK("#'Perks &amp; Allowances'!O2","Other employees eligible to participate in the subsidized meals program")</f>
        <v>Other employees eligible to participate in the subsidized meals program</v>
      </c>
      <c r="U15" s="67" t="str">
        <f>HYPERLINK("#'Transportation Policy'!O1","Q12.9")</f>
        <v>Q12.9</v>
      </c>
      <c r="V15" s="68" t="str">
        <f>HYPERLINK("#'Transportation Policy'!O2","Have a policy/strategy of moving away from company cars to only providing car allowances")</f>
        <v>Have a policy/strategy of moving away from company cars to only providing car allowances</v>
      </c>
    </row>
    <row r="16" spans="1:22" ht="38.25" x14ac:dyDescent="0.2">
      <c r="A16" s="48" t="str">
        <f>HYPERLINK("#'Private Medical Insurance'!P1","Q2.14")</f>
        <v>Q2.14</v>
      </c>
      <c r="B16" s="58" t="str">
        <f>HYPERLINK("#'Private Medical Insurance'!P2","Eligibility of part-time employees ")</f>
        <v xml:space="preserve">Eligibility of part-time employees </v>
      </c>
      <c r="C16" s="55" t="str">
        <f>HYPERLINK("#'Dental &amp; Vision'!P1","Q3.15")</f>
        <v>Q3.15</v>
      </c>
      <c r="D16" s="49" t="str">
        <f>HYPERLINK("#'Dental &amp; Vision'!P2","Employees eligible to participate in the dental plan")</f>
        <v>Employees eligible to participate in the dental plan</v>
      </c>
      <c r="E16" s="67" t="str">
        <f>HYPERLINK("#'Life,Accident,Critical Illness'!P1","Q4.15")</f>
        <v>Q4.15</v>
      </c>
      <c r="F16" s="68" t="str">
        <f>HYPERLINK("#'Life,Accident,Critical Illness'!P2","Multiple of earnings upon which the benefit is determined")</f>
        <v>Multiple of earnings upon which the benefit is determined</v>
      </c>
      <c r="G16" s="55" t="str">
        <f>HYPERLINK("#'Short &amp; Long Term Disability'!P1","Q5.14_7_TEXT")</f>
        <v>Q5.14_7_TEXT</v>
      </c>
      <c r="H16" s="49" t="str">
        <f>HYPERLINK("#'Short &amp; Long Term Disability'!P2","Other types of compensation eligible under the short-term disability plan")</f>
        <v>Other types of compensation eligible under the short-term disability plan</v>
      </c>
      <c r="I16" s="67" t="str">
        <f>HYPERLINK("#'Retirement'!P1","Q6.16")</f>
        <v>Q6.16</v>
      </c>
      <c r="J16" s="68" t="str">
        <f>HYPERLINK("#'Retirement'!P2","Number of days required before new employees are eligible to participate in the defined contribution plan")</f>
        <v>Number of days required before new employees are eligible to participate in the defined contribution plan</v>
      </c>
      <c r="K16" s="67" t="str">
        <f>HYPERLINK("#'Wellness'!P1","Q7.10_4_TEXT")</f>
        <v>Q7.10_4_TEXT</v>
      </c>
      <c r="L16" s="68" t="str">
        <f>HYPERLINK("#'Wellness'!P2","Other methods for measuring the engagement and success of wellbeing programs")</f>
        <v>Other methods for measuring the engagement and success of wellbeing programs</v>
      </c>
      <c r="M16" s="55" t="str">
        <f>HYPERLINK("#'EAP'!P1","Q8.14")</f>
        <v>Q8.14</v>
      </c>
      <c r="N16" s="49" t="str">
        <f>HYPERLINK("#'EAP'!P2","Additional counseling services offered")</f>
        <v>Additional counseling services offered</v>
      </c>
      <c r="O16" s="67" t="str">
        <f>HYPERLINK("#'Leaves'!P1","Q9.16")</f>
        <v>Q9.16</v>
      </c>
      <c r="P16" s="68" t="str">
        <f>HYPERLINK("#'Leaves'!P2","Time limit on carry forward days")</f>
        <v>Time limit on carry forward days</v>
      </c>
      <c r="S16" s="67" t="str">
        <f>HYPERLINK("#'Perks &amp; Allowances'!P1","Q11.13")</f>
        <v>Q11.13</v>
      </c>
      <c r="T16" s="68" t="str">
        <f>HYPERLINK("#'Perks &amp; Allowances'!P2","Number of days required before new employees are eligible for the subsidized meals program")</f>
        <v>Number of days required before new employees are eligible for the subsidized meals program</v>
      </c>
      <c r="U16" s="67" t="str">
        <f>HYPERLINK("#'Transportation Policy'!P1","Q12.10")</f>
        <v>Q12.10</v>
      </c>
      <c r="V16" s="68" t="str">
        <f>HYPERLINK("#'Transportation Policy'!P2","Steps the company is taking to transition from company cars to car allowances")</f>
        <v>Steps the company is taking to transition from company cars to car allowances</v>
      </c>
    </row>
    <row r="17" spans="1:22" ht="25.5" x14ac:dyDescent="0.2">
      <c r="A17" s="48" t="str">
        <f>HYPERLINK("#'Private Medical Insurance'!Q1","Q2.15")</f>
        <v>Q2.15</v>
      </c>
      <c r="B17" s="58" t="str">
        <f>HYPERLINK("#'Private Medical Insurance'!Q2","Weekly hour eligibility requirement for part-time employees ")</f>
        <v xml:space="preserve">Weekly hour eligibility requirement for part-time employees </v>
      </c>
      <c r="C17" s="55" t="str">
        <f>HYPERLINK("#'Dental &amp; Vision'!Q1","Q3.15_8_TEXT")</f>
        <v>Q3.15_8_TEXT</v>
      </c>
      <c r="D17" s="49" t="str">
        <f>HYPERLINK("#'Dental &amp; Vision'!Q2","Other employees eligible to participate in the dental plan")</f>
        <v>Other employees eligible to participate in the dental plan</v>
      </c>
      <c r="E17" s="67" t="str">
        <f>HYPERLINK("#'Life,Accident,Critical Illness'!Q1","Q4.15_4_TEXT")</f>
        <v>Q4.15_4_TEXT</v>
      </c>
      <c r="F17" s="68" t="str">
        <f>HYPERLINK("#'Life,Accident,Critical Illness'!Q2","Other multiple of earnings upon which the benefit is determined")</f>
        <v>Other multiple of earnings upon which the benefit is determined</v>
      </c>
      <c r="G17" s="55" t="str">
        <f>HYPERLINK("#'Short &amp; Long Term Disability'!Q1","Q5.15")</f>
        <v>Q5.15</v>
      </c>
      <c r="H17" s="49" t="str">
        <f>HYPERLINK("#'Short &amp; Long Term Disability'!Q2","Approach to employee participation")</f>
        <v>Approach to employee participation</v>
      </c>
      <c r="I17" s="67" t="str">
        <f>HYPERLINK("#'Retirement'!Q1","Q6.17")</f>
        <v>Q6.17</v>
      </c>
      <c r="J17" s="68" t="str">
        <f>HYPERLINK("#'Retirement'!Q2","Approach to employee participation")</f>
        <v>Approach to employee participation</v>
      </c>
      <c r="K17" s="67" t="str">
        <f>HYPERLINK("#'Wellness'!Q1","Q7.11")</f>
        <v>Q7.11</v>
      </c>
      <c r="L17" s="68" t="str">
        <f>HYPERLINK("#'Wellness'!Q2","Offer an incentive to participate in the wellbeing programs")</f>
        <v>Offer an incentive to participate in the wellbeing programs</v>
      </c>
      <c r="M17" s="55" t="str">
        <f>HYPERLINK("#'EAP'!Q1","Q8.15")</f>
        <v>Q8.15</v>
      </c>
      <c r="N17" s="49" t="str">
        <f>HYPERLINK("#'EAP'!Q2","Communicate the benefits of the EAP to employees")</f>
        <v>Communicate the benefits of the EAP to employees</v>
      </c>
      <c r="O17" s="67" t="str">
        <f>HYPERLINK("#'Leaves'!Q1","Q9.17")</f>
        <v>Q9.17</v>
      </c>
      <c r="P17" s="68" t="str">
        <f>HYPERLINK("#'Leaves'!Q2","Treatment of days that are beyond the carry forward time limit")</f>
        <v>Treatment of days that are beyond the carry forward time limit</v>
      </c>
      <c r="S17" s="67" t="str">
        <f>HYPERLINK("#'Perks &amp; Allowances'!Q1","Q11.14")</f>
        <v>Q11.14</v>
      </c>
      <c r="T17" s="68" t="str">
        <f>HYPERLINK("#'Perks &amp; Allowances'!Q2","Annual maximum benefit in GBP, if any, for the subsidized meals program")</f>
        <v>Annual maximum benefit in GBP, if any, for the subsidized meals program</v>
      </c>
      <c r="U17" s="67" t="str">
        <f>HYPERLINK("#'Transportation Policy'!Q1","Q12.12")</f>
        <v>Q12.12</v>
      </c>
      <c r="V17" s="68" t="str">
        <f>HYPERLINK("#'Transportation Policy'!Q2","Criteria used to determine employee eligibility for a car benefit (vehicle or allowance)")</f>
        <v>Criteria used to determine employee eligibility for a car benefit (vehicle or allowance)</v>
      </c>
    </row>
    <row r="18" spans="1:22" ht="38.25" x14ac:dyDescent="0.2">
      <c r="A18" s="48" t="str">
        <f>HYPERLINK("#'Private Medical Insurance'!R1","Q2.16")</f>
        <v>Q2.16</v>
      </c>
      <c r="B18" s="58" t="str">
        <f>HYPERLINK("#'Private Medical Insurance'!R2","Dependents eligible to participate in this PMI plan ")</f>
        <v xml:space="preserve">Dependents eligible to participate in this PMI plan </v>
      </c>
      <c r="C18" s="55" t="str">
        <f>HYPERLINK("#'Dental &amp; Vision'!R1","Q3.16")</f>
        <v>Q3.16</v>
      </c>
      <c r="D18" s="49" t="str">
        <f>HYPERLINK("#'Dental &amp; Vision'!R2","Part-time employees eligible to participate in the dental plan")</f>
        <v>Part-time employees eligible to participate in the dental plan</v>
      </c>
      <c r="E18" s="67" t="str">
        <f>HYPERLINK("#'Life,Accident,Critical Illness'!R1","Q4.16")</f>
        <v>Q4.16</v>
      </c>
      <c r="F18" s="68" t="str">
        <f>HYPERLINK("#'Life,Accident,Critical Illness'!R2","Percentage of earnings provided")</f>
        <v>Percentage of earnings provided</v>
      </c>
      <c r="G18" s="55" t="str">
        <f>HYPERLINK("#'Short &amp; Long Term Disability'!R1","Q5.16")</f>
        <v>Q5.16</v>
      </c>
      <c r="H18" s="49" t="str">
        <f>HYPERLINK("#'Short &amp; Long Term Disability'!R2","Number of days required before new employees are eligible for the short-term disability plan")</f>
        <v>Number of days required before new employees are eligible for the short-term disability plan</v>
      </c>
      <c r="I18" s="67" t="str">
        <f>HYPERLINK("#'Retirement'!R1","Q6.18")</f>
        <v>Q6.18</v>
      </c>
      <c r="J18" s="68" t="str">
        <f>HYPERLINK("#'Retirement'!R2","Approach to the company's participation")</f>
        <v>Approach to the company's participation</v>
      </c>
      <c r="K18" s="67" t="str">
        <f>HYPERLINK("#'Wellness'!R1","Q7.12")</f>
        <v>Q7.12</v>
      </c>
      <c r="L18" s="68" t="str">
        <f>HYPERLINK("#'Wellness'!R2","Incentive offered")</f>
        <v>Incentive offered</v>
      </c>
      <c r="M18" s="55" t="str">
        <f>HYPERLINK("#'EAP'!R1","Q8.16")</f>
        <v>Q8.16</v>
      </c>
      <c r="N18" s="49" t="str">
        <f>HYPERLINK("#'EAP'!R2","How the EAP benefits are communicated")</f>
        <v>How the EAP benefits are communicated</v>
      </c>
      <c r="O18" s="67" t="str">
        <f>HYPERLINK("#'Leaves'!R1","Q9.18")</f>
        <v>Q9.18</v>
      </c>
      <c r="P18" s="68" t="str">
        <f>HYPERLINK("#'Leaves'!R2","Other treatment of days that are beyond the carry forward time limit")</f>
        <v>Other treatment of days that are beyond the carry forward time limit</v>
      </c>
      <c r="S18" s="67" t="str">
        <f>HYPERLINK("#'Perks &amp; Allowances'!R1","Q11.15")</f>
        <v>Q11.15</v>
      </c>
      <c r="T18" s="68" t="str">
        <f>HYPERLINK("#'Perks &amp; Allowances'!R2","Workplace canteens policy")</f>
        <v>Workplace canteens policy</v>
      </c>
      <c r="U18" s="67" t="str">
        <f>HYPERLINK("#'Transportation Policy'!R1","Q12.12_8_TEXT")</f>
        <v>Q12.12_8_TEXT</v>
      </c>
      <c r="V18" s="68" t="str">
        <f>HYPERLINK("#'Transportation Policy'!R2","Other criteria used to determine employee eligibility for a car benefit (vehicle or allowance)")</f>
        <v>Other criteria used to determine employee eligibility for a car benefit (vehicle or allowance)</v>
      </c>
    </row>
    <row r="19" spans="1:22" ht="25.5" x14ac:dyDescent="0.2">
      <c r="A19" s="48" t="str">
        <f>HYPERLINK("#'Private Medical Insurance'!S1","Q2.16_7_TEXT")</f>
        <v>Q2.16_7_TEXT</v>
      </c>
      <c r="B19" s="58" t="str">
        <f>HYPERLINK("#'Private Medical Insurance'!S2","Other dependents eligible to participate in this PMI plan")</f>
        <v>Other dependents eligible to participate in this PMI plan</v>
      </c>
      <c r="C19" s="55" t="str">
        <f>HYPERLINK("#'Dental &amp; Vision'!S1","Q3.17")</f>
        <v>Q3.17</v>
      </c>
      <c r="D19" s="49" t="str">
        <f>HYPERLINK("#'Dental &amp; Vision'!S2","Minimum hourly eligibility requirement for part-time employees per week")</f>
        <v>Minimum hourly eligibility requirement for part-time employees per week</v>
      </c>
      <c r="E19" s="67" t="str">
        <f>HYPERLINK("#'Life,Accident,Critical Illness'!S1","Q4.17")</f>
        <v>Q4.17</v>
      </c>
      <c r="F19" s="68" t="str">
        <f>HYPERLINK("#'Life,Accident,Critical Illness'!S2","Other formula used to determine the amount of the benefit")</f>
        <v>Other formula used to determine the amount of the benefit</v>
      </c>
      <c r="G19" s="55" t="str">
        <f>HYPERLINK("#'Short &amp; Long Term Disability'!S1","Q5.17")</f>
        <v>Q5.17</v>
      </c>
      <c r="H19" s="49" t="str">
        <f>HYPERLINK("#'Short &amp; Long Term Disability'!S2","Elimination or waiting period to receive plan benefits (days)")</f>
        <v>Elimination or waiting period to receive plan benefits (days)</v>
      </c>
      <c r="I19" s="67" t="str">
        <f>HYPERLINK("#'Retirement'!S1","Q6.18_5_TEXT")</f>
        <v>Q6.18_5_TEXT</v>
      </c>
      <c r="J19" s="68" t="str">
        <f>HYPERLINK("#'Retirement'!S2","Other approach to the company's participation")</f>
        <v>Other approach to the company's participation</v>
      </c>
      <c r="K19" s="67" t="str">
        <f>HYPERLINK("#'Wellness'!S1","Q7.12_6_TEXT")</f>
        <v>Q7.12_6_TEXT</v>
      </c>
      <c r="L19" s="68" t="str">
        <f>HYPERLINK("#'Wellness'!S2","Other incentive offered")</f>
        <v>Other incentive offered</v>
      </c>
      <c r="M19" s="55" t="str">
        <f>HYPERLINK("#'EAP'!S1","Q8.17")</f>
        <v>Q8.17</v>
      </c>
      <c r="N19" s="49" t="str">
        <f>HYPERLINK("#'EAP'!S2","Extent that perceptions or stigma of mental illness impact EAP utilization ")</f>
        <v xml:space="preserve">Extent that perceptions or stigma of mental illness impact EAP utilization </v>
      </c>
      <c r="O19" s="67" t="str">
        <f>HYPERLINK("#'Leaves'!S1","Q9.19")</f>
        <v>Q9.19</v>
      </c>
      <c r="P19" s="68" t="str">
        <f>HYPERLINK("#'Leaves'!S2","Allow employees to buy additional annual/privilege leave")</f>
        <v>Allow employees to buy additional annual/privilege leave</v>
      </c>
      <c r="S19" s="67" t="str">
        <f>HYPERLINK("#'Perks &amp; Allowances'!S1","Q11.16")</f>
        <v>Q11.16</v>
      </c>
      <c r="T19" s="68" t="str">
        <f>HYPERLINK("#'Perks &amp; Allowances'!S2","Employees eligible to participate in the workplace canteens program")</f>
        <v>Employees eligible to participate in the workplace canteens program</v>
      </c>
      <c r="U19" s="67" t="str">
        <f>HYPERLINK("#'Transportation Policy'!S1","Q12.13")</f>
        <v>Q12.13</v>
      </c>
      <c r="V19" s="68" t="str">
        <f>HYPERLINK("#'Transportation Policy'!S2","Method for determining the business need for a car benefit (vehicle or allowance)")</f>
        <v>Method for determining the business need for a car benefit (vehicle or allowance)</v>
      </c>
    </row>
    <row r="20" spans="1:22" ht="25.5" x14ac:dyDescent="0.2">
      <c r="A20" s="48" t="str">
        <f>HYPERLINK("#'Private Medical Insurance'!T1","Q2.17")</f>
        <v>Q2.17</v>
      </c>
      <c r="B20" s="58" t="str">
        <f>HYPERLINK("#'Private Medical Insurance'!T2","Maximum eligibility age for children who are not full-time students ")</f>
        <v xml:space="preserve">Maximum eligibility age for children who are not full-time students </v>
      </c>
      <c r="C20" s="55" t="str">
        <f>HYPERLINK("#'Dental &amp; Vision'!T1","Q3.18")</f>
        <v>Q3.18</v>
      </c>
      <c r="D20" s="49" t="str">
        <f>HYPERLINK("#'Dental &amp; Vision'!T2","Dependents eligible to participate in the dental plan")</f>
        <v>Dependents eligible to participate in the dental plan</v>
      </c>
      <c r="E20" s="67" t="str">
        <f>HYPERLINK("#'Life,Accident,Critical Illness'!T1","Q4.18")</f>
        <v>Q4.18</v>
      </c>
      <c r="F20" s="68" t="str">
        <f>HYPERLINK("#'Life,Accident,Critical Illness'!T2","Maximum life assurance benefit amount in GBP")</f>
        <v>Maximum life assurance benefit amount in GBP</v>
      </c>
      <c r="G20" s="55" t="str">
        <f>HYPERLINK("#'Short &amp; Long Term Disability'!T1","Q5.18")</f>
        <v>Q5.18</v>
      </c>
      <c r="H20" s="49" t="str">
        <f>HYPERLINK("#'Short &amp; Long Term Disability'!T2","Benefit formula used for the plan")</f>
        <v>Benefit formula used for the plan</v>
      </c>
      <c r="I20" s="67" t="str">
        <f>HYPERLINK("#'Retirement'!T1","Q6.19")</f>
        <v>Q6.19</v>
      </c>
      <c r="J20" s="68" t="str">
        <f>HYPERLINK("#'Retirement'!T2","Percentage the company automatically contributes")</f>
        <v>Percentage the company automatically contributes</v>
      </c>
      <c r="K20" s="67" t="str">
        <f>HYPERLINK("#'Wellness'!T1","Q7.13")</f>
        <v>Q7.13</v>
      </c>
      <c r="L20" s="68" t="str">
        <f>HYPERLINK("#'Wellness'!T2","Programs that offer an incentive")</f>
        <v>Programs that offer an incentive</v>
      </c>
      <c r="M20" s="55" t="str">
        <f>HYPERLINK("#'EAP'!T1","Q8.17_3_TEXT")</f>
        <v>Q8.17_3_TEXT</v>
      </c>
      <c r="N20" s="49" t="str">
        <f>HYPERLINK("#'EAP'!T2","Other extent that perceptions or stigma of mental illness impact EAP utilization ")</f>
        <v xml:space="preserve">Other extent that perceptions or stigma of mental illness impact EAP utilization </v>
      </c>
      <c r="O20" s="67" t="str">
        <f>HYPERLINK("#'Leaves'!T1","Q9.20")</f>
        <v>Q9.20</v>
      </c>
      <c r="P20" s="68" t="str">
        <f>HYPERLINK("#'Leaves'!T2","Annual maximum number of days an employee may buy")</f>
        <v>Annual maximum number of days an employee may buy</v>
      </c>
      <c r="S20" s="67" t="str">
        <f>HYPERLINK("#'Perks &amp; Allowances'!T1","Q11.16_8_TEXT")</f>
        <v>Q11.16_8_TEXT</v>
      </c>
      <c r="T20" s="68" t="str">
        <f>HYPERLINK("#'Perks &amp; Allowances'!T2","Other employees eligible to participate in the workplace canteens program")</f>
        <v>Other employees eligible to participate in the workplace canteens program</v>
      </c>
      <c r="U20" s="67" t="str">
        <f>HYPERLINK("#'Transportation Policy'!T1","Q12.13_5_TEXT")</f>
        <v>Q12.13_5_TEXT</v>
      </c>
      <c r="V20" s="68" t="str">
        <f>HYPERLINK("#'Transportation Policy'!T2","Other methods for determining the business need for a car benefit (vehicle or allowance)")</f>
        <v>Other methods for determining the business need for a car benefit (vehicle or allowance)</v>
      </c>
    </row>
    <row r="21" spans="1:22" ht="38.25" x14ac:dyDescent="0.2">
      <c r="A21" s="48" t="str">
        <f>HYPERLINK("#'Private Medical Insurance'!U1","Q2.17_6_TEXT")</f>
        <v>Q2.17_6_TEXT</v>
      </c>
      <c r="B21" s="58" t="str">
        <f>HYPERLINK("#'Private Medical Insurance'!U2","Other eligibility age for children who are not full-time students")</f>
        <v>Other eligibility age for children who are not full-time students</v>
      </c>
      <c r="C21" s="55" t="str">
        <f>HYPERLINK("#'Dental &amp; Vision'!U1","Q3.18_7_TEXT")</f>
        <v>Q3.18_7_TEXT</v>
      </c>
      <c r="D21" s="49" t="str">
        <f>HYPERLINK("#'Dental &amp; Vision'!U2","Other dependents eligible to participate in the dental plan")</f>
        <v>Other dependents eligible to participate in the dental plan</v>
      </c>
      <c r="E21" s="67" t="str">
        <f>HYPERLINK("#'Life,Accident,Critical Illness'!U1","Q4.19")</f>
        <v>Q4.19</v>
      </c>
      <c r="F21" s="68" t="str">
        <f>HYPERLINK("#'Life,Accident,Critical Illness'!U2","Payer of the premium")</f>
        <v>Payer of the premium</v>
      </c>
      <c r="G21" s="55" t="str">
        <f>HYPERLINK("#'Short &amp; Long Term Disability'!U1","Q5.19")</f>
        <v>Q5.19</v>
      </c>
      <c r="H21" s="49" t="str">
        <f>HYPERLINK("#'Short &amp; Long Term Disability'!U2","Flat amount is the same for all employees")</f>
        <v>Flat amount is the same for all employees</v>
      </c>
      <c r="I21" s="67" t="str">
        <f>HYPERLINK("#'Retirement'!U1","Q6.20")</f>
        <v>Q6.20</v>
      </c>
      <c r="J21" s="68" t="str">
        <f>HYPERLINK("#'Retirement'!U2","Percentage an employee is required to contribute")</f>
        <v>Percentage an employee is required to contribute</v>
      </c>
      <c r="K21" s="67" t="str">
        <f>HYPERLINK("#'Wellness'!U1","Q7.13_17_TEXT")</f>
        <v>Q7.13_17_TEXT</v>
      </c>
      <c r="L21" s="68" t="str">
        <f>HYPERLINK("#'Wellness'!U2","Other programs that offer an incentive")</f>
        <v>Other programs that offer an incentive</v>
      </c>
      <c r="M21" s="55" t="str">
        <f>HYPERLINK("#'EAP'!U1","Q8.18")</f>
        <v>Q8.18</v>
      </c>
      <c r="N21" s="49" t="str">
        <f>HYPERLINK("#'EAP'!U2","Approach taken to reduce the stigma associated with mental illness")</f>
        <v>Approach taken to reduce the stigma associated with mental illness</v>
      </c>
      <c r="O21" s="67" t="str">
        <f>HYPERLINK("#'Leaves'!U1","Q9.21")</f>
        <v>Q9.21</v>
      </c>
      <c r="P21" s="68" t="str">
        <f>HYPERLINK("#'Leaves'!U2","Allow employees to sell annual/privilege leave")</f>
        <v>Allow employees to sell annual/privilege leave</v>
      </c>
      <c r="S21" s="67" t="str">
        <f>HYPERLINK("#'Perks &amp; Allowances'!U1","Q11.17")</f>
        <v>Q11.17</v>
      </c>
      <c r="T21" s="68" t="str">
        <f>HYPERLINK("#'Perks &amp; Allowances'!U2","Number of days required before new employees are eligible for the workplace canteens program")</f>
        <v>Number of days required before new employees are eligible for the workplace canteens program</v>
      </c>
      <c r="U21" s="67" t="str">
        <f>HYPERLINK("#'Transportation Policy'!U1","Q12.14")</f>
        <v>Q12.14</v>
      </c>
      <c r="V21" s="68" t="str">
        <f>HYPERLINK("#'Transportation Policy'!U2","Role that determines eligibility for car benefits")</f>
        <v>Role that determines eligibility for car benefits</v>
      </c>
    </row>
    <row r="22" spans="1:22" ht="38.25" x14ac:dyDescent="0.2">
      <c r="A22" s="48" t="str">
        <f>HYPERLINK("#'Private Medical Insurance'!V1","Q2.18")</f>
        <v>Q2.18</v>
      </c>
      <c r="B22" s="58" t="str">
        <f>HYPERLINK("#'Private Medical Insurance'!V2","Maximum eligibility age for full-time students ")</f>
        <v xml:space="preserve">Maximum eligibility age for full-time students </v>
      </c>
      <c r="C22" s="55" t="str">
        <f>HYPERLINK("#'Dental &amp; Vision'!V1","Q3.19")</f>
        <v>Q3.19</v>
      </c>
      <c r="D22" s="49" t="str">
        <f>HYPERLINK("#'Dental &amp; Vision'!V2","Types of coverage included in the dental benefits plan")</f>
        <v>Types of coverage included in the dental benefits plan</v>
      </c>
      <c r="E22" s="67" t="str">
        <f>HYPERLINK("#'Life,Accident,Critical Illness'!V1","Q4.20")</f>
        <v>Q4.20</v>
      </c>
      <c r="F22" s="68" t="str">
        <f>HYPERLINK("#'Life,Accident,Critical Illness'!V2","Method of employee cost sharing")</f>
        <v>Method of employee cost sharing</v>
      </c>
      <c r="G22" s="55" t="str">
        <f>HYPERLINK("#'Short &amp; Long Term Disability'!V1","Q5.20")</f>
        <v>Q5.20</v>
      </c>
      <c r="H22" s="49" t="str">
        <f>HYPERLINK("#'Short &amp; Long Term Disability'!V2","Flat amount of the benefit provided in GBP")</f>
        <v>Flat amount of the benefit provided in GBP</v>
      </c>
      <c r="I22" s="67" t="str">
        <f>HYPERLINK("#'Retirement'!V1","Q6.21")</f>
        <v>Q6.21</v>
      </c>
      <c r="J22" s="68" t="str">
        <f>HYPERLINK("#'Retirement'!V2","Match employee-paid contributions")</f>
        <v>Match employee-paid contributions</v>
      </c>
      <c r="K22" s="67" t="str">
        <f>HYPERLINK("#'Wellness'!V1","Q7.14")</f>
        <v>Q7.14</v>
      </c>
      <c r="L22" s="68" t="str">
        <f>HYPERLINK("#'Wellness'!V2","Have programs in place to assist employees with saving for their retirement (aside from the government-mandated benefits)")</f>
        <v>Have programs in place to assist employees with saving for their retirement (aside from the government-mandated benefits)</v>
      </c>
      <c r="M22" s="55" t="str">
        <f>HYPERLINK("#'EAP'!V1","Q8.19")</f>
        <v>Q8.19</v>
      </c>
      <c r="N22" s="49" t="str">
        <f>HYPERLINK("#'EAP'!V2","Allow a supervisor or a member of the management team to require an employee to use EAP services")</f>
        <v>Allow a supervisor or a member of the management team to require an employee to use EAP services</v>
      </c>
      <c r="O22" s="67" t="str">
        <f>HYPERLINK("#'Leaves'!V1","Q9.22")</f>
        <v>Q9.22</v>
      </c>
      <c r="P22" s="68" t="str">
        <f>HYPERLINK("#'Leaves'!V2","Annual maximum number of days an employee may sell")</f>
        <v>Annual maximum number of days an employee may sell</v>
      </c>
      <c r="S22" s="67" t="str">
        <f>HYPERLINK("#'Perks &amp; Allowances'!V1","Q11.18")</f>
        <v>Q11.18</v>
      </c>
      <c r="T22" s="68" t="str">
        <f>HYPERLINK("#'Perks &amp; Allowances'!V2","Annual maximum benefit in GBP, if any, for the workplace canteens program")</f>
        <v>Annual maximum benefit in GBP, if any, for the workplace canteens program</v>
      </c>
      <c r="U22" s="67" t="str">
        <f>HYPERLINK("#'Transportation Policy'!V1","Q12.14_6_TEXT")</f>
        <v>Q12.14_6_TEXT</v>
      </c>
      <c r="V22" s="68" t="str">
        <f>HYPERLINK("#'Transportation Policy'!V2","Other role that determines eligibility for car benefits")</f>
        <v>Other role that determines eligibility for car benefits</v>
      </c>
    </row>
    <row r="23" spans="1:22" ht="25.5" x14ac:dyDescent="0.2">
      <c r="A23" s="48" t="str">
        <f>HYPERLINK("#'Private Medical Insurance'!W1","Q2.18_6_TEXT")</f>
        <v>Q2.18_6_TEXT</v>
      </c>
      <c r="B23" s="58" t="str">
        <f>HYPERLINK("#'Private Medical Insurance'!W2","Other eligibility age for full-time students")</f>
        <v>Other eligibility age for full-time students</v>
      </c>
      <c r="C23" s="55" t="str">
        <f>HYPERLINK("#'Dental &amp; Vision'!W1","Q3.19_9_TEXT")</f>
        <v>Q3.19_9_TEXT</v>
      </c>
      <c r="D23" s="49" t="str">
        <f>HYPERLINK("#'Dental &amp; Vision'!W2","Other types of coverage included in the dental benefits plan")</f>
        <v>Other types of coverage included in the dental benefits plan</v>
      </c>
      <c r="E23" s="67" t="str">
        <f>HYPERLINK("#'Life,Accident,Critical Illness'!W1","Q4.21")</f>
        <v>Q4.21</v>
      </c>
      <c r="F23" s="68" t="str">
        <f>HYPERLINK("#'Life,Accident,Critical Illness'!W2","Flat amount the employee is required to pay in GBP")</f>
        <v>Flat amount the employee is required to pay in GBP</v>
      </c>
      <c r="G23" s="55" t="str">
        <f>HYPERLINK("#'Short &amp; Long Term Disability'!W1","Q5.21")</f>
        <v>Q5.21</v>
      </c>
      <c r="H23" s="49" t="str">
        <f>HYPERLINK("#'Short &amp; Long Term Disability'!W2","Multiple of earnings upon which the benefit is based")</f>
        <v>Multiple of earnings upon which the benefit is based</v>
      </c>
      <c r="I23" s="67" t="str">
        <f>HYPERLINK("#'Retirement'!W1","Q6.22")</f>
        <v>Q6.22</v>
      </c>
      <c r="J23" s="68" t="str">
        <f>HYPERLINK("#'Retirement'!W2","Company's match formula/ratio")</f>
        <v>Company's match formula/ratio</v>
      </c>
      <c r="K23" s="67" t="str">
        <f>HYPERLINK("#'Wellness'!W1","Q7.15")</f>
        <v>Q7.15</v>
      </c>
      <c r="L23" s="68" t="str">
        <f>HYPERLINK("#'Wellness'!W2","Financial wellbeing programs offered")</f>
        <v>Financial wellbeing programs offered</v>
      </c>
      <c r="M23" s="55" t="str">
        <f>HYPERLINK("#'EAP'!W1","Q8.20")</f>
        <v>Q8.20</v>
      </c>
      <c r="N23" s="49" t="str">
        <f>HYPERLINK("#'EAP'!W2","The EAP vendor provides utilization reports")</f>
        <v>The EAP vendor provides utilization reports</v>
      </c>
      <c r="O23" s="67" t="str">
        <f>HYPERLINK("#'Leaves'!W1","Q9.24")</f>
        <v>Q9.24</v>
      </c>
      <c r="P23" s="68" t="str">
        <f>HYPERLINK("#'Leaves'!W2","Approach to ordinary maternity leave")</f>
        <v>Approach to ordinary maternity leave</v>
      </c>
      <c r="S23" s="67" t="str">
        <f>HYPERLINK("#'Perks &amp; Allowances'!W1","Q11.19")</f>
        <v>Q11.19</v>
      </c>
      <c r="T23" s="68" t="str">
        <f>HYPERLINK("#'Perks &amp; Allowances'!W2","Convenience policy")</f>
        <v>Convenience policy</v>
      </c>
      <c r="U23" s="67" t="str">
        <f>HYPERLINK("#'Transportation Policy'!W1","Q12.15")</f>
        <v>Q12.15</v>
      </c>
      <c r="V23" s="68" t="str">
        <f>HYPERLINK("#'Transportation Policy'!W2","Offer car-eligible employees the option to choose an allowance instead of a vehicle")</f>
        <v>Offer car-eligible employees the option to choose an allowance instead of a vehicle</v>
      </c>
    </row>
    <row r="24" spans="1:22" ht="51" x14ac:dyDescent="0.2">
      <c r="A24" s="48" t="str">
        <f>HYPERLINK("#'Private Medical Insurance'!X1","Q2.19")</f>
        <v>Q2.19</v>
      </c>
      <c r="B24" s="58" t="str">
        <f>HYPERLINK("#'Private Medical Insurance'!X2","Types of coverage included in the PMI plan ")</f>
        <v xml:space="preserve">Types of coverage included in the PMI plan </v>
      </c>
      <c r="C24" s="55" t="str">
        <f>HYPERLINK("#'Dental &amp; Vision'!X1","Q3.20")</f>
        <v>Q3.20</v>
      </c>
      <c r="D24" s="49" t="str">
        <f>HYPERLINK("#'Dental &amp; Vision'!X2","Number of days required before new employees are eligible for dental benefits")</f>
        <v>Number of days required before new employees are eligible for dental benefits</v>
      </c>
      <c r="E24" s="67" t="str">
        <f>HYPERLINK("#'Life,Accident,Critical Illness'!X1","Q4.22")</f>
        <v>Q4.22</v>
      </c>
      <c r="F24" s="68" t="str">
        <f>HYPERLINK("#'Life,Accident,Critical Illness'!X2","Flat amount of the company contribution in GBP")</f>
        <v>Flat amount of the company contribution in GBP</v>
      </c>
      <c r="G24" s="55" t="str">
        <f>HYPERLINK("#'Short &amp; Long Term Disability'!X1","Q5.22")</f>
        <v>Q5.22</v>
      </c>
      <c r="H24" s="49" t="str">
        <f>HYPERLINK("#'Short &amp; Long Term Disability'!X2","Approach to the multiple of earnings")</f>
        <v>Approach to the multiple of earnings</v>
      </c>
      <c r="I24" s="67" t="str">
        <f>HYPERLINK("#'Retirement'!X1","Q6.23")</f>
        <v>Q6.23</v>
      </c>
      <c r="J24" s="68" t="str">
        <f>HYPERLINK("#'Retirement'!X2","Company matching capped")</f>
        <v>Company matching capped</v>
      </c>
      <c r="K24" s="67" t="str">
        <f>HYPERLINK("#'Wellness'!X1","Q7.15_8_TEXT")</f>
        <v>Q7.15_8_TEXT</v>
      </c>
      <c r="L24" s="68" t="str">
        <f>HYPERLINK("#'Wellness'!X2","Other financial wellbeing programs offered")</f>
        <v>Other financial wellbeing programs offered</v>
      </c>
      <c r="M24" s="55" t="str">
        <f>HYPERLINK("#'EAP'!X1","Q8.21")</f>
        <v>Q8.21</v>
      </c>
      <c r="N24" s="49" t="str">
        <f>HYPERLINK("#'EAP'!X2","Percentage of employees using the EAP")</f>
        <v>Percentage of employees using the EAP</v>
      </c>
      <c r="O24" s="67" t="str">
        <f>HYPERLINK("#'Leaves'!X1","Q9.25")</f>
        <v>Q9.25</v>
      </c>
      <c r="P24" s="68" t="str">
        <f>HYPERLINK("#'Leaves'!X2","How ordinary maternity leave is paid")</f>
        <v>How ordinary maternity leave is paid</v>
      </c>
      <c r="S24" s="67" t="str">
        <f>HYPERLINK("#'Perks &amp; Allowances'!X1","Q11.20")</f>
        <v>Q11.20</v>
      </c>
      <c r="T24" s="68" t="str">
        <f>HYPERLINK("#'Perks &amp; Allowances'!X2","Employees eligible to participate in the convenience program")</f>
        <v>Employees eligible to participate in the convenience program</v>
      </c>
      <c r="U24" s="67" t="str">
        <f>HYPERLINK("#'Transportation Policy'!X1","Q12.16")</f>
        <v>Q12.16</v>
      </c>
      <c r="V24" s="68" t="str">
        <f>HYPERLINK("#'Transportation Policy'!X2","Method of addressing eligibility changes when an employee moves from a role that is eligible for a car benefit (vehicle or allowance) into a role that is not")</f>
        <v>Method of addressing eligibility changes when an employee moves from a role that is eligible for a car benefit (vehicle or allowance) into a role that is not</v>
      </c>
    </row>
    <row r="25" spans="1:22" ht="25.5" x14ac:dyDescent="0.2">
      <c r="A25" s="48" t="str">
        <f>HYPERLINK("#'Private Medical Insurance'!Y1","Q2.20")</f>
        <v>Q2.20</v>
      </c>
      <c r="B25" s="58" t="str">
        <f>HYPERLINK("#'Private Medical Insurance'!Y2","Other types of coverage included in the PMI plan ")</f>
        <v xml:space="preserve">Other types of coverage included in the PMI plan </v>
      </c>
      <c r="C25" s="55" t="str">
        <f>HYPERLINK("#'Dental &amp; Vision'!Y1","Q3.21")</f>
        <v>Q3.21</v>
      </c>
      <c r="D25" s="49" t="str">
        <f>HYPERLINK("#'Dental &amp; Vision'!Y2","Payer of the dental benefit for employee coverage")</f>
        <v>Payer of the dental benefit for employee coverage</v>
      </c>
      <c r="E25" s="67" t="str">
        <f>HYPERLINK("#'Life,Accident,Critical Illness'!Y1","Q4.23")</f>
        <v>Q4.23</v>
      </c>
      <c r="F25" s="68" t="str">
        <f>HYPERLINK("#'Life,Accident,Critical Illness'!Y2","Percentage the employee is required to pay")</f>
        <v>Percentage the employee is required to pay</v>
      </c>
      <c r="G25" s="55" t="str">
        <f>HYPERLINK("#'Short &amp; Long Term Disability'!Y1","Q5.22_3_TEXT")</f>
        <v>Q5.22_3_TEXT</v>
      </c>
      <c r="H25" s="49" t="str">
        <f>HYPERLINK("#'Short &amp; Long Term Disability'!Y2","Other approach to the multiple of earnings")</f>
        <v>Other approach to the multiple of earnings</v>
      </c>
      <c r="I25" s="67" t="str">
        <f>HYPERLINK("#'Retirement'!Y1","Q6.24")</f>
        <v>Q6.24</v>
      </c>
      <c r="J25" s="68" t="str">
        <f>HYPERLINK("#'Retirement'!Y2","How the company match is capped")</f>
        <v>How the company match is capped</v>
      </c>
      <c r="K25" s="67" t="str">
        <f>HYPERLINK("#'Wellness'!Y1","Q7.16")</f>
        <v>Q7.16</v>
      </c>
      <c r="L25" s="68" t="str">
        <f>HYPERLINK("#'Wellness'!Y2","Method for offering financial wellbeing programs ")</f>
        <v xml:space="preserve">Method for offering financial wellbeing programs </v>
      </c>
      <c r="M25" s="55" t="str">
        <f>HYPERLINK("#'EAP'!Y1","Q8.22")</f>
        <v>Q8.22</v>
      </c>
      <c r="N25" s="49" t="str">
        <f>HYPERLINK("#'EAP'!Y2","Most common reason employees do not use the EAP")</f>
        <v>Most common reason employees do not use the EAP</v>
      </c>
      <c r="O25" s="67" t="str">
        <f>HYPERLINK("#'Leaves'!Y1","Q9.26")</f>
        <v>Q9.26</v>
      </c>
      <c r="P25" s="68" t="str">
        <f>HYPERLINK("#'Leaves'!Y2","Employees eligible to participate in the ordinary maternity leave plan")</f>
        <v>Employees eligible to participate in the ordinary maternity leave plan</v>
      </c>
      <c r="S25" s="67" t="str">
        <f>HYPERLINK("#'Perks &amp; Allowances'!Y1","Q11.20_8_TEXT")</f>
        <v>Q11.20_8_TEXT</v>
      </c>
      <c r="T25" s="68" t="str">
        <f>HYPERLINK("#'Perks &amp; Allowances'!Y2","Other employees eligible to participate in the convenience program")</f>
        <v>Other employees eligible to participate in the convenience program</v>
      </c>
      <c r="U25" s="67" t="str">
        <f>HYPERLINK("#'Transportation Policy'!Y1","Q12.17")</f>
        <v>Q12.17</v>
      </c>
      <c r="V25" s="68" t="str">
        <f>HYPERLINK("#'Transportation Policy'!Y2","Allow employees to negotiate for car benefits (vehicle or allowance) during the hiring process")</f>
        <v>Allow employees to negotiate for car benefits (vehicle or allowance) during the hiring process</v>
      </c>
    </row>
    <row r="26" spans="1:22" ht="38.25" x14ac:dyDescent="0.2">
      <c r="A26" s="48" t="str">
        <f>HYPERLINK("#'Private Medical Insurance'!Z1","Q2.21")</f>
        <v>Q2.21</v>
      </c>
      <c r="B26" s="58" t="str">
        <f>HYPERLINK("#'Private Medical Insurance'!Z2","Added telemedicine services as a result of COVID-19 ")</f>
        <v xml:space="preserve">Added telemedicine services as a result of COVID-19 </v>
      </c>
      <c r="C26" s="55" t="str">
        <f>HYPERLINK("#'Dental &amp; Vision'!Z1","Q3.22")</f>
        <v>Q3.22</v>
      </c>
      <c r="D26" s="49" t="str">
        <f>HYPERLINK("#'Dental &amp; Vision'!Z2","Method of employee cost sharing")</f>
        <v>Method of employee cost sharing</v>
      </c>
      <c r="E26" s="67" t="str">
        <f>HYPERLINK("#'Life,Accident,Critical Illness'!Z1","Q4.24")</f>
        <v>Q4.24</v>
      </c>
      <c r="F26" s="68" t="str">
        <f>HYPERLINK("#'Life,Accident,Critical Illness'!Z2","Other method of determining employee cost sharing")</f>
        <v>Other method of determining employee cost sharing</v>
      </c>
      <c r="G26" s="55" t="str">
        <f>HYPERLINK("#'Short &amp; Long Term Disability'!Z1","Q5.23")</f>
        <v>Q5.23</v>
      </c>
      <c r="H26" s="49" t="str">
        <f>HYPERLINK("#'Short &amp; Long Term Disability'!Z2","Percentage of the benefit provided")</f>
        <v>Percentage of the benefit provided</v>
      </c>
      <c r="I26" s="67" t="str">
        <f>HYPERLINK("#'Retirement'!Z1","Q6.25")</f>
        <v>Q6.25</v>
      </c>
      <c r="J26" s="68" t="str">
        <f>HYPERLINK("#'Retirement'!Z2","Maximum percentage the company matches")</f>
        <v>Maximum percentage the company matches</v>
      </c>
      <c r="K26" s="67" t="str">
        <f>HYPERLINK("#'Wellness'!Z1","Q7.16_6_TEXT")</f>
        <v>Q7.16_6_TEXT</v>
      </c>
      <c r="L26" s="68" t="str">
        <f>HYPERLINK("#'Wellness'!Z2","Other method for offering financial wellbeing programs ")</f>
        <v xml:space="preserve">Other method for offering financial wellbeing programs </v>
      </c>
      <c r="M26" s="55" t="str">
        <f>HYPERLINK("#'EAP'!Z1","Q8.22_3_TEXT")</f>
        <v>Q8.22_3_TEXT</v>
      </c>
      <c r="N26" s="49" t="str">
        <f>HYPERLINK("#'EAP'!Z2","Other common reasons employees do not use the EAP")</f>
        <v>Other common reasons employees do not use the EAP</v>
      </c>
      <c r="O26" s="67" t="str">
        <f>HYPERLINK("#'Leaves'!Z1","Q9.26_8_TEXT")</f>
        <v>Q9.26_8_TEXT</v>
      </c>
      <c r="P26" s="68" t="str">
        <f>HYPERLINK("#'Leaves'!Z2","Other employees eligible to participate in the ordinary maternity leave plan")</f>
        <v>Other employees eligible to participate in the ordinary maternity leave plan</v>
      </c>
      <c r="S26" s="67" t="str">
        <f>HYPERLINK("#'Perks &amp; Allowances'!Z1","Q11.21")</f>
        <v>Q11.21</v>
      </c>
      <c r="T26" s="68" t="str">
        <f>HYPERLINK("#'Perks &amp; Allowances'!Z2","Number of days required before new employees are eligible for the convenience program")</f>
        <v>Number of days required before new employees are eligible for the convenience program</v>
      </c>
      <c r="U26" s="67" t="str">
        <f>HYPERLINK("#'Transportation Policy'!Z1","Q12.18")</f>
        <v>Q12.18</v>
      </c>
      <c r="V26" s="68" t="str">
        <f>HYPERLINK("#'Transportation Policy'!Z2","Groups excluding sales that are eligible for car benefits (vehicle or allowance) ")</f>
        <v xml:space="preserve">Groups excluding sales that are eligible for car benefits (vehicle or allowance) </v>
      </c>
    </row>
    <row r="27" spans="1:22" ht="39" thickBot="1" x14ac:dyDescent="0.25">
      <c r="A27" s="48" t="str">
        <f>HYPERLINK("#'Private Medical Insurance'!AA1","Q2.22")</f>
        <v>Q2.22</v>
      </c>
      <c r="B27" s="58" t="str">
        <f>HYPERLINK("#'Private Medical Insurance'!AA2","Specialists included in the telemedicine services added due to COVID-19 ")</f>
        <v xml:space="preserve">Specialists included in the telemedicine services added due to COVID-19 </v>
      </c>
      <c r="C27" s="55" t="str">
        <f>HYPERLINK("#'Dental &amp; Vision'!AA1","Q3.23")</f>
        <v>Q3.23</v>
      </c>
      <c r="D27" s="49" t="str">
        <f>HYPERLINK("#'Dental &amp; Vision'!AA2","Flat amount the employee is required to pay in GBP")</f>
        <v>Flat amount the employee is required to pay in GBP</v>
      </c>
      <c r="E27" s="67" t="str">
        <f>HYPERLINK("#'Life,Accident,Critical Illness'!AA1","Q4.25")</f>
        <v>Q4.25</v>
      </c>
      <c r="F27" s="68" t="str">
        <f>HYPERLINK("#'Life,Accident,Critical Illness'!AA2","Provide dependent life assurance ")</f>
        <v xml:space="preserve">Provide dependent life assurance </v>
      </c>
      <c r="G27" s="55" t="str">
        <f>HYPERLINK("#'Short &amp; Long Term Disability'!AA1","Q5.24")</f>
        <v>Q5.24</v>
      </c>
      <c r="H27" s="49" t="str">
        <f>HYPERLINK("#'Short &amp; Long Term Disability'!AA2","Other formula used to determine the amount of benefit")</f>
        <v>Other formula used to determine the amount of benefit</v>
      </c>
      <c r="I27" s="67" t="str">
        <f>HYPERLINK("#'Retirement'!AA1","Q6.26")</f>
        <v>Q6.26</v>
      </c>
      <c r="J27" s="68" t="str">
        <f>HYPERLINK("#'Retirement'!AA2","Maximum flat amount the company matches in GBP")</f>
        <v>Maximum flat amount the company matches in GBP</v>
      </c>
      <c r="K27" s="67" t="str">
        <f>HYPERLINK("#'Wellness'!AA1","Q7.17")</f>
        <v>Q7.17</v>
      </c>
      <c r="L27" s="68" t="str">
        <f>HYPERLINK("#'Wellness'!AA2","Additional information about how financial wellbeing programs are offered")</f>
        <v>Additional information about how financial wellbeing programs are offered</v>
      </c>
      <c r="M27" s="71" t="str">
        <f>HYPERLINK("#'EAP'!AA1","Q8.23")</f>
        <v>Q8.23</v>
      </c>
      <c r="N27" s="72" t="str">
        <f>HYPERLINK("#'EAP'!AA2","EAP vendor")</f>
        <v>EAP vendor</v>
      </c>
      <c r="O27" s="67" t="str">
        <f>HYPERLINK("#'Leaves'!AA1","Q9.27")</f>
        <v>Q9.27</v>
      </c>
      <c r="P27" s="68" t="str">
        <f>HYPERLINK("#'Leaves'!AA2","Number of days required before new employees are eligible for ordinary maternity leave")</f>
        <v>Number of days required before new employees are eligible for ordinary maternity leave</v>
      </c>
      <c r="S27" s="67" t="str">
        <f>HYPERLINK("#'Perks &amp; Allowances'!AA1","Q11.22")</f>
        <v>Q11.22</v>
      </c>
      <c r="T27" s="68" t="str">
        <f>HYPERLINK("#'Perks &amp; Allowances'!AA2","Annual maximum benefit in GBP, if any, for the convenience program")</f>
        <v>Annual maximum benefit in GBP, if any, for the convenience program</v>
      </c>
      <c r="U27" s="67" t="str">
        <f>HYPERLINK("#'Transportation Policy'!AA1","Q12.18_6_TEXT")</f>
        <v>Q12.18_6_TEXT</v>
      </c>
      <c r="V27" s="68" t="str">
        <f>HYPERLINK("#'Transportation Policy'!AA2","Other groups excluding sales that are eligible for car benefits (vehicle or allowance)")</f>
        <v>Other groups excluding sales that are eligible for car benefits (vehicle or allowance)</v>
      </c>
    </row>
    <row r="28" spans="1:22" ht="25.5" x14ac:dyDescent="0.2">
      <c r="A28" s="48" t="str">
        <f>HYPERLINK("#'Private Medical Insurance'!AB1","Q2.22_4_TEXT")</f>
        <v>Q2.22_4_TEXT</v>
      </c>
      <c r="B28" s="58" t="str">
        <f>HYPERLINK("#'Private Medical Insurance'!AB2","Other specialists included in the telemedicine services added due to COVID-19")</f>
        <v>Other specialists included in the telemedicine services added due to COVID-19</v>
      </c>
      <c r="C28" s="55" t="str">
        <f>HYPERLINK("#'Dental &amp; Vision'!AB1","Q3.24")</f>
        <v>Q3.24</v>
      </c>
      <c r="D28" s="49" t="str">
        <f>HYPERLINK("#'Dental &amp; Vision'!AB2","Percentage the employee is required to pay")</f>
        <v>Percentage the employee is required to pay</v>
      </c>
      <c r="E28" s="67" t="str">
        <f>HYPERLINK("#'Life,Accident,Critical Illness'!AB1","Q4.26")</f>
        <v>Q4.26</v>
      </c>
      <c r="F28" s="68" t="str">
        <f>HYPERLINK("#'Life,Accident,Critical Illness'!AB2","Dependents eligible for dependent life assurance")</f>
        <v>Dependents eligible for dependent life assurance</v>
      </c>
      <c r="G28" s="55" t="str">
        <f>HYPERLINK("#'Short &amp; Long Term Disability'!AB1","Q5.25")</f>
        <v>Q5.25</v>
      </c>
      <c r="H28" s="49" t="str">
        <f>HYPERLINK("#'Short &amp; Long Term Disability'!AB2","Maximum benefit per employee in GBP")</f>
        <v>Maximum benefit per employee in GBP</v>
      </c>
      <c r="I28" s="67" t="str">
        <f>HYPERLINK("#'Retirement'!AB1","Q6.27")</f>
        <v>Q6.27</v>
      </c>
      <c r="J28" s="68" t="str">
        <f>HYPERLINK("#'Retirement'!AB2","Maximum other amount the company matches")</f>
        <v>Maximum other amount the company matches</v>
      </c>
      <c r="K28" s="67" t="str">
        <f>HYPERLINK("#'Wellness'!AB1","Q7.18")</f>
        <v>Q7.18</v>
      </c>
      <c r="L28" s="68" t="str">
        <f>HYPERLINK("#'Wellness'!AB2","Have a local wellness committee")</f>
        <v>Have a local wellness committee</v>
      </c>
      <c r="M28" s="73"/>
      <c r="N28" s="74"/>
      <c r="O28" s="67" t="str">
        <f>HYPERLINK("#'Leaves'!AB1","Q9.28")</f>
        <v>Q9.28</v>
      </c>
      <c r="P28" s="68" t="str">
        <f>HYPERLINK("#'Leaves'!AB2","Number of weeks an employee is entitled to for ordinary maternity leave")</f>
        <v>Number of weeks an employee is entitled to for ordinary maternity leave</v>
      </c>
      <c r="S28" s="67" t="str">
        <f>HYPERLINK("#'Perks &amp; Allowances'!AB1","Q11.23")</f>
        <v>Q11.23</v>
      </c>
      <c r="T28" s="68" t="str">
        <f>HYPERLINK("#'Perks &amp; Allowances'!AB2","Fitness center policy")</f>
        <v>Fitness center policy</v>
      </c>
      <c r="U28" s="67" t="str">
        <f>HYPERLINK("#'Transportation Policy'!AB1","Q12.19")</f>
        <v>Q12.19</v>
      </c>
      <c r="V28" s="68" t="str">
        <f>HYPERLINK("#'Transportation Policy'!AB2","Groups in the sales organization that are eligible for car benefits (vehicle or allowance)")</f>
        <v>Groups in the sales organization that are eligible for car benefits (vehicle or allowance)</v>
      </c>
    </row>
    <row r="29" spans="1:22" ht="38.25" x14ac:dyDescent="0.2">
      <c r="A29" s="48" t="str">
        <f>HYPERLINK("#'Private Medical Insurance'!AC1","Q2.23")</f>
        <v>Q2.23</v>
      </c>
      <c r="B29" s="58" t="str">
        <f>HYPERLINK("#'Private Medical Insurance'!AC2","Coverage added or increased in response to COVID-19")</f>
        <v>Coverage added or increased in response to COVID-19</v>
      </c>
      <c r="C29" s="55" t="str">
        <f>HYPERLINK("#'Dental &amp; Vision'!AC1","Q3.25")</f>
        <v>Q3.25</v>
      </c>
      <c r="D29" s="49" t="str">
        <f>HYPERLINK("#'Dental &amp; Vision'!AC2","Flat amount of the company contribution in GBP")</f>
        <v>Flat amount of the company contribution in GBP</v>
      </c>
      <c r="E29" s="67" t="str">
        <f>HYPERLINK("#'Life,Accident,Critical Illness'!AC1","Q4.26_7_TEXT")</f>
        <v>Q4.26_7_TEXT</v>
      </c>
      <c r="F29" s="68" t="str">
        <f>HYPERLINK("#'Life,Accident,Critical Illness'!AC2","Other dependents eligible for dependent life assurance")</f>
        <v>Other dependents eligible for dependent life assurance</v>
      </c>
      <c r="G29" s="55" t="str">
        <f>HYPERLINK("#'Short &amp; Long Term Disability'!AC1","Q5.26")</f>
        <v>Q5.26</v>
      </c>
      <c r="H29" s="49" t="str">
        <f>HYPERLINK("#'Short &amp; Long Term Disability'!AC2","Maximum duration of the benefit (days)")</f>
        <v>Maximum duration of the benefit (days)</v>
      </c>
      <c r="I29" s="67" t="str">
        <f>HYPERLINK("#'Retirement'!AC1","Q6.28")</f>
        <v>Q6.28</v>
      </c>
      <c r="J29" s="68" t="str">
        <f>HYPERLINK("#'Retirement'!AC2","Vesting schedule for company contributions")</f>
        <v>Vesting schedule for company contributions</v>
      </c>
      <c r="K29" s="67" t="str">
        <f>HYPERLINK("#'Wellness'!AC1","Q7.19")</f>
        <v>Q7.19</v>
      </c>
      <c r="L29" s="68" t="str">
        <f>HYPERLINK("#'Wellness'!AC2","Members of the wellness committee")</f>
        <v>Members of the wellness committee</v>
      </c>
      <c r="O29" s="67" t="str">
        <f>HYPERLINK("#'Leaves'!AC1","Q9.30")</f>
        <v>Q9.30</v>
      </c>
      <c r="P29" s="68" t="str">
        <f>HYPERLINK("#'Leaves'!AC2","Approach to additional maternity leave")</f>
        <v>Approach to additional maternity leave</v>
      </c>
      <c r="S29" s="67" t="str">
        <f>HYPERLINK("#'Perks &amp; Allowances'!AC1","Q11.24")</f>
        <v>Q11.24</v>
      </c>
      <c r="T29" s="68" t="str">
        <f>HYPERLINK("#'Perks &amp; Allowances'!AC2","Employees eligible to participate in the fitness center program")</f>
        <v>Employees eligible to participate in the fitness center program</v>
      </c>
      <c r="U29" s="67" t="str">
        <f>HYPERLINK("#'Transportation Policy'!AC1","Q12.19_6_TEXT")</f>
        <v>Q12.19_6_TEXT</v>
      </c>
      <c r="V29" s="68" t="str">
        <f>HYPERLINK("#'Transportation Policy'!AC2","Other groups in the sales organization that are eligible for car benefits (vehicle or allowance)")</f>
        <v>Other groups in the sales organization that are eligible for car benefits (vehicle or allowance)</v>
      </c>
    </row>
    <row r="30" spans="1:22" ht="25.5" x14ac:dyDescent="0.2">
      <c r="A30" s="48" t="str">
        <f>HYPERLINK("#'Private Medical Insurance'!AD1","Q2.23_7_TEXT")</f>
        <v>Q2.23_7_TEXT</v>
      </c>
      <c r="B30" s="58" t="str">
        <f>HYPERLINK("#'Private Medical Insurance'!AD2","Other coverage added or increased in response to COVID-19")</f>
        <v>Other coverage added or increased in response to COVID-19</v>
      </c>
      <c r="C30" s="55" t="str">
        <f>HYPERLINK("#'Dental &amp; Vision'!AD1","Q3.26")</f>
        <v>Q3.26</v>
      </c>
      <c r="D30" s="49" t="str">
        <f>HYPERLINK("#'Dental &amp; Vision'!AD2","Other method of determining employee cost sharing")</f>
        <v>Other method of determining employee cost sharing</v>
      </c>
      <c r="E30" s="67" t="str">
        <f>HYPERLINK("#'Life,Accident,Critical Illness'!AD1","Q4.27")</f>
        <v>Q4.27</v>
      </c>
      <c r="F30" s="68" t="str">
        <f>HYPERLINK("#'Life,Accident,Critical Illness'!AD2","Dependent life assurance benefit amount in GBP")</f>
        <v>Dependent life assurance benefit amount in GBP</v>
      </c>
      <c r="G30" s="55" t="str">
        <f>HYPERLINK("#'Short &amp; Long Term Disability'!AD1","Q5.27")</f>
        <v>Q5.27</v>
      </c>
      <c r="H30" s="49" t="str">
        <f>HYPERLINK("#'Short &amp; Long Term Disability'!AD2","Payer of the premium")</f>
        <v>Payer of the premium</v>
      </c>
      <c r="I30" s="67" t="str">
        <f>HYPERLINK("#'Retirement'!AD1","Q6.29")</f>
        <v>Q6.29</v>
      </c>
      <c r="J30" s="68" t="str">
        <f>HYPERLINK("#'Retirement'!AD2","Number of years of service required for cliff vesting")</f>
        <v>Number of years of service required for cliff vesting</v>
      </c>
      <c r="K30" s="67" t="str">
        <f>HYPERLINK("#'Wellness'!AD1","Q7.19_7_TEXT")</f>
        <v>Q7.19_7_TEXT</v>
      </c>
      <c r="L30" s="68" t="str">
        <f>HYPERLINK("#'Wellness'!AD2","Other members of the wellness committee")</f>
        <v>Other members of the wellness committee</v>
      </c>
      <c r="O30" s="67" t="str">
        <f>HYPERLINK("#'Leaves'!AD1","Q9.31")</f>
        <v>Q9.31</v>
      </c>
      <c r="P30" s="68" t="str">
        <f>HYPERLINK("#'Leaves'!AD2","How additional maternity leave is paid")</f>
        <v>How additional maternity leave is paid</v>
      </c>
      <c r="S30" s="67" t="str">
        <f>HYPERLINK("#'Perks &amp; Allowances'!AD1","Q11.24_8_TEXT")</f>
        <v>Q11.24_8_TEXT</v>
      </c>
      <c r="T30" s="68" t="str">
        <f>HYPERLINK("#'Perks &amp; Allowances'!AD2","Other employees eligible to participate in the fitness center program")</f>
        <v>Other employees eligible to participate in the fitness center program</v>
      </c>
      <c r="U30" s="67" t="str">
        <f>HYPERLINK("#'Transportation Policy'!AD1","Q12.21")</f>
        <v>Q12.21</v>
      </c>
      <c r="V30" s="68" t="str">
        <f>HYPERLINK("#'Transportation Policy'!AD2","Benefits included in the transportation program")</f>
        <v>Benefits included in the transportation program</v>
      </c>
    </row>
    <row r="31" spans="1:22" ht="38.25" x14ac:dyDescent="0.2">
      <c r="A31" s="48" t="str">
        <f>HYPERLINK("#'Private Medical Insurance'!AE1","Q2.24")</f>
        <v>Q2.24</v>
      </c>
      <c r="B31" s="58" t="str">
        <f>HYPERLINK("#'Private Medical Insurance'!AE2","Additional enhancement plans in response to COVID-19 ")</f>
        <v xml:space="preserve">Additional enhancement plans in response to COVID-19 </v>
      </c>
      <c r="C31" s="55" t="str">
        <f>HYPERLINK("#'Dental &amp; Vision'!AE1","Q3.27_1")</f>
        <v>Q3.27_1</v>
      </c>
      <c r="D31" s="49" t="str">
        <f>HYPERLINK("#'Dental &amp; Vision'!AE2","Payer of the dental benefit for dependent coverage - Spouse")</f>
        <v>Payer of the dental benefit for dependent coverage - Spouse</v>
      </c>
      <c r="E31" s="67" t="str">
        <f>HYPERLINK("#'Life,Accident,Critical Illness'!AE1","Q4.28")</f>
        <v>Q4.28</v>
      </c>
      <c r="F31" s="68" t="str">
        <f>HYPERLINK("#'Life,Accident,Critical Illness'!AE2","Have a supplemental life assurance or death benefit plan that only executives are eligible to participate in")</f>
        <v>Have a supplemental life assurance or death benefit plan that only executives are eligible to participate in</v>
      </c>
      <c r="G31" s="55" t="str">
        <f>HYPERLINK("#'Short &amp; Long Term Disability'!AE1","Q5.28")</f>
        <v>Q5.28</v>
      </c>
      <c r="H31" s="49" t="str">
        <f>HYPERLINK("#'Short &amp; Long Term Disability'!AE2","Method of employee cost sharing")</f>
        <v>Method of employee cost sharing</v>
      </c>
      <c r="I31" s="67" t="str">
        <f>HYPERLINK("#'Retirement'!AE1","Q6.30")</f>
        <v>Q6.30</v>
      </c>
      <c r="J31" s="68" t="str">
        <f>HYPERLINK("#'Retirement'!AE2","Step vesting schedule")</f>
        <v>Step vesting schedule</v>
      </c>
      <c r="K31" s="67" t="str">
        <f>HYPERLINK("#'Wellness'!AE1","Q7.20")</f>
        <v>Q7.20</v>
      </c>
      <c r="L31" s="68" t="str">
        <f>HYPERLINK("#'Wellness'!AE2","Offer health fairs to employees")</f>
        <v>Offer health fairs to employees</v>
      </c>
      <c r="O31" s="67" t="str">
        <f>HYPERLINK("#'Leaves'!AE1","Q9.32")</f>
        <v>Q9.32</v>
      </c>
      <c r="P31" s="68" t="str">
        <f>HYPERLINK("#'Leaves'!AE2","Types of employees eligible to participate in the additional maternity leave plan")</f>
        <v>Types of employees eligible to participate in the additional maternity leave plan</v>
      </c>
      <c r="S31" s="67" t="str">
        <f>HYPERLINK("#'Perks &amp; Allowances'!AE1","Q11.25")</f>
        <v>Q11.25</v>
      </c>
      <c r="T31" s="68" t="str">
        <f>HYPERLINK("#'Perks &amp; Allowances'!AE2","Number of days required before new employees are eligible for the fitness center program")</f>
        <v>Number of days required before new employees are eligible for the fitness center program</v>
      </c>
      <c r="U31" s="67" t="str">
        <f>HYPERLINK("#'Transportation Policy'!AE1","Q12.21_9_TEXT")</f>
        <v>Q12.21_9_TEXT</v>
      </c>
      <c r="V31" s="68" t="str">
        <f>HYPERLINK("#'Transportation Policy'!AE2","Other benefits included in the transportation program")</f>
        <v>Other benefits included in the transportation program</v>
      </c>
    </row>
    <row r="32" spans="1:22" ht="38.25" x14ac:dyDescent="0.2">
      <c r="A32" s="48" t="str">
        <f>HYPERLINK("#'Private Medical Insurance'!AF1","Q2.25")</f>
        <v>Q2.25</v>
      </c>
      <c r="B32" s="58" t="str">
        <f>HYPERLINK("#'Private Medical Insurance'!AF2","Have a pre-existing conditions waiting period for PMI policy ")</f>
        <v xml:space="preserve">Have a pre-existing conditions waiting period for PMI policy </v>
      </c>
      <c r="C32" s="55" t="str">
        <f>HYPERLINK("#'Dental &amp; Vision'!AF1","Q3.27_2")</f>
        <v>Q3.27_2</v>
      </c>
      <c r="D32" s="49" t="str">
        <f>HYPERLINK("#'Dental &amp; Vision'!AF2","Payer of the dental benefit for dependent coverage - Domestic partner")</f>
        <v>Payer of the dental benefit for dependent coverage - Domestic partner</v>
      </c>
      <c r="E32" s="67" t="str">
        <f>HYPERLINK("#'Life,Accident,Critical Illness'!AF1","Q4.29")</f>
        <v>Q4.29</v>
      </c>
      <c r="F32" s="68" t="str">
        <f>HYPERLINK("#'Life,Accident,Critical Illness'!AF2","Description of the supplemental life assurance/death benefit plan for which only executives are eligible to participate")</f>
        <v>Description of the supplemental life assurance/death benefit plan for which only executives are eligible to participate</v>
      </c>
      <c r="G32" s="55" t="str">
        <f>HYPERLINK("#'Short &amp; Long Term Disability'!AF1","Q5.29")</f>
        <v>Q5.29</v>
      </c>
      <c r="H32" s="49" t="str">
        <f>HYPERLINK("#'Short &amp; Long Term Disability'!AF2","Flat amount the employee is required to pay in GBP")</f>
        <v>Flat amount the employee is required to pay in GBP</v>
      </c>
      <c r="I32" s="67" t="str">
        <f>HYPERLINK("#'Retirement'!AF1","Q6.31")</f>
        <v>Q6.31</v>
      </c>
      <c r="J32" s="68" t="str">
        <f>HYPERLINK("#'Retirement'!AF2","Other vesting schedule")</f>
        <v>Other vesting schedule</v>
      </c>
      <c r="K32" s="67" t="str">
        <f>HYPERLINK("#'Wellness'!AF1","Q7.21")</f>
        <v>Q7.21</v>
      </c>
      <c r="L32" s="68" t="str">
        <f>HYPERLINK("#'Wellness'!AF2","Health fair events offered onsite")</f>
        <v>Health fair events offered onsite</v>
      </c>
      <c r="O32" s="67" t="str">
        <f>HYPERLINK("#'Leaves'!AF1","Q9.32_8_TEXT")</f>
        <v>Q9.32_8_TEXT</v>
      </c>
      <c r="P32" s="68" t="str">
        <f>HYPERLINK("#'Leaves'!AF2","Other employees eligible to participate in the additional maternity leave plan")</f>
        <v>Other employees eligible to participate in the additional maternity leave plan</v>
      </c>
      <c r="S32" s="67" t="str">
        <f>HYPERLINK("#'Perks &amp; Allowances'!AF1","Q11.26")</f>
        <v>Q11.26</v>
      </c>
      <c r="T32" s="68" t="str">
        <f>HYPERLINK("#'Perks &amp; Allowances'!AF2","Fitness or gym membership policy")</f>
        <v>Fitness or gym membership policy</v>
      </c>
      <c r="U32" s="67" t="str">
        <f>HYPERLINK("#'Transportation Policy'!AF1","Q12.22_1")</f>
        <v>Q12.22_1</v>
      </c>
      <c r="V32" s="68" t="str">
        <f>HYPERLINK("#'Transportation Policy'!AF2","Monetary value in GBP for car allowance - Head of industry")</f>
        <v>Monetary value in GBP for car allowance - Head of industry</v>
      </c>
    </row>
    <row r="33" spans="1:22" ht="38.25" x14ac:dyDescent="0.2">
      <c r="A33" s="48" t="str">
        <f>HYPERLINK("#'Private Medical Insurance'!AG1","Q2.26")</f>
        <v>Q2.26</v>
      </c>
      <c r="B33" s="58" t="str">
        <f>HYPERLINK("#'Private Medical Insurance'!AG2","Waiting period for pre-existing conditions ")</f>
        <v xml:space="preserve">Waiting period for pre-existing conditions </v>
      </c>
      <c r="C33" s="55" t="str">
        <f>HYPERLINK("#'Dental &amp; Vision'!AG1","Q3.27_3")</f>
        <v>Q3.27_3</v>
      </c>
      <c r="D33" s="49" t="str">
        <f>HYPERLINK("#'Dental &amp; Vision'!AG2","Payer of the dental benefit for dependent coverage - Child (only one)")</f>
        <v>Payer of the dental benefit for dependent coverage - Child (only one)</v>
      </c>
      <c r="E33" s="67" t="str">
        <f>HYPERLINK("#'Life,Accident,Critical Illness'!AG1","Q4.30")</f>
        <v>Q4.30</v>
      </c>
      <c r="F33" s="68" t="str">
        <f>HYPERLINK("#'Life,Accident,Critical Illness'!AG2","Vendor for the most prevalent supplemental life assurance/death benefit plan")</f>
        <v>Vendor for the most prevalent supplemental life assurance/death benefit plan</v>
      </c>
      <c r="G33" s="55" t="str">
        <f>HYPERLINK("#'Short &amp; Long Term Disability'!AG1","Q5.30")</f>
        <v>Q5.30</v>
      </c>
      <c r="H33" s="49" t="str">
        <f>HYPERLINK("#'Short &amp; Long Term Disability'!AG2","Percentage the employee is required to pay")</f>
        <v>Percentage the employee is required to pay</v>
      </c>
      <c r="I33" s="67" t="str">
        <f>HYPERLINK("#'Retirement'!AG1","Q6.32")</f>
        <v>Q6.32</v>
      </c>
      <c r="J33" s="68" t="str">
        <f>HYPERLINK("#'Retirement'!AG2","Types of investment options provided to employees")</f>
        <v>Types of investment options provided to employees</v>
      </c>
      <c r="K33" s="67" t="str">
        <f>HYPERLINK("#'Wellness'!AG1","Q7.22")</f>
        <v>Q7.22</v>
      </c>
      <c r="L33" s="68" t="str">
        <f>HYPERLINK("#'Wellness'!AG2","Topics addressed in the health fairs")</f>
        <v>Topics addressed in the health fairs</v>
      </c>
      <c r="O33" s="67" t="str">
        <f>HYPERLINK("#'Leaves'!AG1","Q9.33")</f>
        <v>Q9.33</v>
      </c>
      <c r="P33" s="68" t="str">
        <f>HYPERLINK("#'Leaves'!AG2","Number of days required before new employees are eligible for additional maternity leave")</f>
        <v>Number of days required before new employees are eligible for additional maternity leave</v>
      </c>
      <c r="S33" s="67" t="str">
        <f>HYPERLINK("#'Perks &amp; Allowances'!AG1","Q11.27")</f>
        <v>Q11.27</v>
      </c>
      <c r="T33" s="68" t="str">
        <f>HYPERLINK("#'Perks &amp; Allowances'!AG2","Employees eligible to participate in the fitness or gym membership program")</f>
        <v>Employees eligible to participate in the fitness or gym membership program</v>
      </c>
      <c r="U33" s="67" t="str">
        <f>HYPERLINK("#'Transportation Policy'!AG1","Q12.22_2")</f>
        <v>Q12.22_2</v>
      </c>
      <c r="V33" s="68" t="str">
        <f>HYPERLINK("#'Transportation Policy'!AG2","Monetary value in GBP for car allowance -Head of sales")</f>
        <v>Monetary value in GBP for car allowance -Head of sales</v>
      </c>
    </row>
    <row r="34" spans="1:22" ht="26.25" thickBot="1" x14ac:dyDescent="0.25">
      <c r="A34" s="48" t="str">
        <f>HYPERLINK("#'Private Medical Insurance'!AH1","Q2.26_13_TEXT")</f>
        <v>Q2.26_13_TEXT</v>
      </c>
      <c r="B34" s="58" t="str">
        <f>HYPERLINK("#'Private Medical Insurance'!AH2","Other waiting period for pre-existing conditions")</f>
        <v>Other waiting period for pre-existing conditions</v>
      </c>
      <c r="C34" s="55" t="str">
        <f>HYPERLINK("#'Dental &amp; Vision'!AH1","Q3.27_4")</f>
        <v>Q3.27_4</v>
      </c>
      <c r="D34" s="49" t="str">
        <f>HYPERLINK("#'Dental &amp; Vision'!AH2","Payer of the dental benefit for dependent coverage - Children (no limit)")</f>
        <v>Payer of the dental benefit for dependent coverage - Children (no limit)</v>
      </c>
      <c r="E34" s="67" t="str">
        <f>HYPERLINK("#'Life,Accident,Critical Illness'!AH1","Q4.30_5_TEXT")</f>
        <v>Q4.30_5_TEXT</v>
      </c>
      <c r="F34" s="68" t="str">
        <f>HYPERLINK("#'Life,Accident,Critical Illness'!AH2","Other vendor for the most prevalent supplemental life assurance/death benefit plan")</f>
        <v>Other vendor for the most prevalent supplemental life assurance/death benefit plan</v>
      </c>
      <c r="G34" s="55" t="str">
        <f>HYPERLINK("#'Short &amp; Long Term Disability'!AH1","Q5.31")</f>
        <v>Q5.31</v>
      </c>
      <c r="H34" s="49" t="str">
        <f>HYPERLINK("#'Short &amp; Long Term Disability'!AH2","Flat amount of the company contribution in GBP")</f>
        <v>Flat amount of the company contribution in GBP</v>
      </c>
      <c r="I34" s="67" t="str">
        <f>HYPERLINK("#'Retirement'!AH1","Q6.32_4_TEXT")</f>
        <v>Q6.32_4_TEXT</v>
      </c>
      <c r="J34" s="68" t="str">
        <f>HYPERLINK("#'Retirement'!AH2","Other types of investment options provided to employees")</f>
        <v>Other types of investment options provided to employees</v>
      </c>
      <c r="K34" s="69" t="str">
        <f>HYPERLINK("#'Wellness'!AH1","Q7.23")</f>
        <v>Q7.23</v>
      </c>
      <c r="L34" s="70" t="str">
        <f>HYPERLINK("#'Wellness'!AH2","Vendors that deliver wellness programs")</f>
        <v>Vendors that deliver wellness programs</v>
      </c>
      <c r="O34" s="67" t="str">
        <f>HYPERLINK("#'Leaves'!AH1","Q9.34")</f>
        <v>Q9.34</v>
      </c>
      <c r="P34" s="68" t="str">
        <f>HYPERLINK("#'Leaves'!AH2","Number of weeks an employee is entitled to for additional maternity leave")</f>
        <v>Number of weeks an employee is entitled to for additional maternity leave</v>
      </c>
      <c r="S34" s="67" t="str">
        <f>HYPERLINK("#'Perks &amp; Allowances'!AH1","Q11.27_8_TEXT")</f>
        <v>Q11.27_8_TEXT</v>
      </c>
      <c r="T34" s="68" t="str">
        <f>HYPERLINK("#'Perks &amp; Allowances'!AH2","Other employees eligible to participate in the fitness or gym membership program")</f>
        <v>Other employees eligible to participate in the fitness or gym membership program</v>
      </c>
      <c r="U34" s="67" t="str">
        <f>HYPERLINK("#'Transportation Policy'!AH1","Q12.22_3")</f>
        <v>Q12.22_3</v>
      </c>
      <c r="V34" s="68" t="str">
        <f>HYPERLINK("#'Transportation Policy'!AH2","Monetary value in GBP for car allowance -Other executives (excluding sales)")</f>
        <v>Monetary value in GBP for car allowance -Other executives (excluding sales)</v>
      </c>
    </row>
    <row r="35" spans="1:22" ht="38.25" x14ac:dyDescent="0.2">
      <c r="A35" s="48" t="str">
        <f>HYPERLINK("#'Private Medical Insurance'!AI1","Q2.27")</f>
        <v>Q2.27</v>
      </c>
      <c r="B35" s="58" t="str">
        <f>HYPERLINK("#'Private Medical Insurance'!AI2","Additional maternity benefits provided in the PMI")</f>
        <v>Additional maternity benefits provided in the PMI</v>
      </c>
      <c r="C35" s="55" t="str">
        <f>HYPERLINK("#'Dental &amp; Vision'!AI1","Q3.27_5")</f>
        <v>Q3.27_5</v>
      </c>
      <c r="D35" s="49" t="str">
        <f>HYPERLINK("#'Dental &amp; Vision'!AI2","Payer of the dental benefit for dependent coverage - Parents")</f>
        <v>Payer of the dental benefit for dependent coverage - Parents</v>
      </c>
      <c r="E35" s="67" t="str">
        <f>HYPERLINK("#'Life,Accident,Critical Illness'!AI1","Q4.32")</f>
        <v>Q4.32</v>
      </c>
      <c r="F35" s="68" t="str">
        <f>HYPERLINK("#'Life,Accident,Critical Illness'!AI2","Offer some type of insured supplemental accident benefit")</f>
        <v>Offer some type of insured supplemental accident benefit</v>
      </c>
      <c r="G35" s="55" t="str">
        <f>HYPERLINK("#'Short &amp; Long Term Disability'!AI1","Q5.32")</f>
        <v>Q5.32</v>
      </c>
      <c r="H35" s="49" t="str">
        <f>HYPERLINK("#'Short &amp; Long Term Disability'!AI2","How cost sharing is determined")</f>
        <v>How cost sharing is determined</v>
      </c>
      <c r="I35" s="67" t="str">
        <f>HYPERLINK("#'Retirement'!AI1","Q6.33")</f>
        <v>Q6.33</v>
      </c>
      <c r="J35" s="68" t="str">
        <f>HYPERLINK("#'Retirement'!AI2","Defined contribution plan default investment")</f>
        <v>Defined contribution plan default investment</v>
      </c>
      <c r="O35" s="67" t="str">
        <f>HYPERLINK("#'Leaves'!AI1","Q9.36")</f>
        <v>Q9.36</v>
      </c>
      <c r="P35" s="68" t="str">
        <f>HYPERLINK("#'Leaves'!AI2","Approach to enhanced paternity leave")</f>
        <v>Approach to enhanced paternity leave</v>
      </c>
      <c r="S35" s="67" t="str">
        <f>HYPERLINK("#'Perks &amp; Allowances'!AI1","Q11.28")</f>
        <v>Q11.28</v>
      </c>
      <c r="T35" s="68" t="str">
        <f>HYPERLINK("#'Perks &amp; Allowances'!AI2","Number of days required before new employees are eligible for the fitness or gym membership program")</f>
        <v>Number of days required before new employees are eligible for the fitness or gym membership program</v>
      </c>
      <c r="U35" s="67" t="str">
        <f>HYPERLINK("#'Transportation Policy'!AI1","Q12.22_4")</f>
        <v>Q12.22_4</v>
      </c>
      <c r="V35" s="68" t="str">
        <f>HYPERLINK("#'Transportation Policy'!AI2","Monetary value in GBP for car allowance -Sales executives")</f>
        <v>Monetary value in GBP for car allowance -Sales executives</v>
      </c>
    </row>
    <row r="36" spans="1:22" ht="25.5" x14ac:dyDescent="0.2">
      <c r="A36" s="48" t="str">
        <f>HYPERLINK("#'Private Medical Insurance'!AJ1","Q2.28")</f>
        <v>Q2.28</v>
      </c>
      <c r="B36" s="58" t="str">
        <f>HYPERLINK("#'Private Medical Insurance'!AJ2","Description of the additional maternity benefits provided")</f>
        <v>Description of the additional maternity benefits provided</v>
      </c>
      <c r="C36" s="55" t="str">
        <f>HYPERLINK("#'Dental &amp; Vision'!AJ1","Q3.27_6")</f>
        <v>Q3.27_6</v>
      </c>
      <c r="D36" s="49" t="str">
        <f>HYPERLINK("#'Dental &amp; Vision'!AJ2","Payer of the dental benefit for dependent coverage - Parents-in-law")</f>
        <v>Payer of the dental benefit for dependent coverage - Parents-in-law</v>
      </c>
      <c r="E36" s="67" t="str">
        <f>HYPERLINK("#'Life,Accident,Critical Illness'!AJ1","Q4.33")</f>
        <v>Q4.33</v>
      </c>
      <c r="F36" s="68" t="str">
        <f>HYPERLINK("#'Life,Accident,Critical Illness'!AJ2","Approach to insuring supplemental accident benefits")</f>
        <v>Approach to insuring supplemental accident benefits</v>
      </c>
      <c r="G36" s="55" t="str">
        <f>HYPERLINK("#'Short &amp; Long Term Disability'!AJ1","Q5.33")</f>
        <v>Q5.33</v>
      </c>
      <c r="H36" s="49" t="str">
        <f>HYPERLINK("#'Short &amp; Long Term Disability'!AJ2","Have a short-term disability plan for which only executives are eligible to participate")</f>
        <v>Have a short-term disability plan for which only executives are eligible to participate</v>
      </c>
      <c r="I36" s="67" t="str">
        <f>HYPERLINK("#'Retirement'!AJ1","Q6.33_4_TEXT")</f>
        <v>Q6.33_4_TEXT</v>
      </c>
      <c r="J36" s="68" t="str">
        <f>HYPERLINK("#'Retirement'!AJ2","Other defined contribution plan default investment")</f>
        <v>Other defined contribution plan default investment</v>
      </c>
      <c r="O36" s="67" t="str">
        <f>HYPERLINK("#'Leaves'!AJ1","Q9.37")</f>
        <v>Q9.37</v>
      </c>
      <c r="P36" s="68" t="str">
        <f>HYPERLINK("#'Leaves'!AJ2","How enhanced paternity leave is paid")</f>
        <v>How enhanced paternity leave is paid</v>
      </c>
      <c r="S36" s="67" t="str">
        <f>HYPERLINK("#'Perks &amp; Allowances'!AJ1","Q11.29")</f>
        <v>Q11.29</v>
      </c>
      <c r="T36" s="68" t="str">
        <f>HYPERLINK("#'Perks &amp; Allowances'!AJ2","Annual maximum benefit in GBP, if any, for the fitness or gym membership program")</f>
        <v>Annual maximum benefit in GBP, if any, for the fitness or gym membership program</v>
      </c>
      <c r="U36" s="67" t="str">
        <f>HYPERLINK("#'Transportation Policy'!AJ1","Q12.22_5")</f>
        <v>Q12.22_5</v>
      </c>
      <c r="V36" s="68" t="str">
        <f>HYPERLINK("#'Transportation Policy'!AJ2","Monetary value in GBP for car allowance -Other staff (excluding sales)")</f>
        <v>Monetary value in GBP for car allowance -Other staff (excluding sales)</v>
      </c>
    </row>
    <row r="37" spans="1:22" ht="25.5" x14ac:dyDescent="0.2">
      <c r="A37" s="48" t="str">
        <f>HYPERLINK("#'Private Medical Insurance'!AK1","Q2.29")</f>
        <v>Q2.29</v>
      </c>
      <c r="B37" s="58" t="str">
        <f>HYPERLINK("#'Private Medical Insurance'!AK2","Roles eligible to receive additional maternity benefits ")</f>
        <v xml:space="preserve">Roles eligible to receive additional maternity benefits </v>
      </c>
      <c r="C37" s="55" t="str">
        <f>HYPERLINK("#'Dental &amp; Vision'!AK1","Q3.27_7")</f>
        <v>Q3.27_7</v>
      </c>
      <c r="D37" s="49" t="str">
        <f>HYPERLINK("#'Dental &amp; Vision'!AK2","Payer of the dental benefit for dependent coverage - Other")</f>
        <v>Payer of the dental benefit for dependent coverage - Other</v>
      </c>
      <c r="E37" s="67" t="str">
        <f>HYPERLINK("#'Life,Accident,Critical Illness'!AK1","Q4.33_3_TEXT")</f>
        <v>Q4.33_3_TEXT</v>
      </c>
      <c r="F37" s="68" t="str">
        <f>HYPERLINK("#'Life,Accident,Critical Illness'!AK2","Other approach to insuring supplemental accident benefits")</f>
        <v>Other approach to insuring supplemental accident benefits</v>
      </c>
      <c r="G37" s="55" t="str">
        <f>HYPERLINK("#'Short &amp; Long Term Disability'!AK1","Q5.34")</f>
        <v>Q5.34</v>
      </c>
      <c r="H37" s="49" t="str">
        <f>HYPERLINK("#'Short &amp; Long Term Disability'!AK2","Description of the short-term disability plan for which only executives are eligible to participate")</f>
        <v>Description of the short-term disability plan for which only executives are eligible to participate</v>
      </c>
      <c r="I37" s="67" t="str">
        <f>HYPERLINK("#'Retirement'!AK1","Q6.34")</f>
        <v>Q6.34</v>
      </c>
      <c r="J37" s="68" t="str">
        <f>HYPERLINK("#'Retirement'!AK2","Percentage of employees invested in your company's default investment")</f>
        <v>Percentage of employees invested in your company's default investment</v>
      </c>
      <c r="O37" s="67" t="str">
        <f>HYPERLINK("#'Leaves'!AK1","Q9.38")</f>
        <v>Q9.38</v>
      </c>
      <c r="P37" s="68" t="str">
        <f>HYPERLINK("#'Leaves'!AK2","Employees eligible to participate in the enhanced paternity leave plan")</f>
        <v>Employees eligible to participate in the enhanced paternity leave plan</v>
      </c>
      <c r="S37" s="67" t="str">
        <f>HYPERLINK("#'Perks &amp; Allowances'!AK1","Q11.30")</f>
        <v>Q11.30</v>
      </c>
      <c r="T37" s="68" t="str">
        <f>HYPERLINK("#'Perks &amp; Allowances'!AK2","Annual medical checkup policy")</f>
        <v>Annual medical checkup policy</v>
      </c>
      <c r="U37" s="67" t="str">
        <f>HYPERLINK("#'Transportation Policy'!AK1","Q12.22_6")</f>
        <v>Q12.22_6</v>
      </c>
      <c r="V37" s="68" t="str">
        <f>HYPERLINK("#'Transportation Policy'!AK2","Monetary value in GBP for car allowance -Other sales staff")</f>
        <v>Monetary value in GBP for car allowance -Other sales staff</v>
      </c>
    </row>
    <row r="38" spans="1:22" ht="25.5" x14ac:dyDescent="0.2">
      <c r="A38" s="48" t="str">
        <f>HYPERLINK("#'Private Medical Insurance'!AL1","Q2.30")</f>
        <v>Q2.30</v>
      </c>
      <c r="B38" s="58" t="str">
        <f>HYPERLINK("#'Private Medical Insurance'!AL2","Coverage level in GBP for natural delivery and caesarean section for employees")</f>
        <v>Coverage level in GBP for natural delivery and caesarean section for employees</v>
      </c>
      <c r="C38" s="55" t="str">
        <f>HYPERLINK("#'Dental &amp; Vision'!AL1","Q3.27_7_TEXT")</f>
        <v>Q3.27_7_TEXT</v>
      </c>
      <c r="D38" s="49" t="str">
        <f>HYPERLINK("#'Dental &amp; Vision'!AL2","Description of other dependent")</f>
        <v>Description of other dependent</v>
      </c>
      <c r="E38" s="67" t="str">
        <f>HYPERLINK("#'Life,Accident,Critical Illness'!AL1","Q4.34")</f>
        <v>Q4.34</v>
      </c>
      <c r="F38" s="68" t="str">
        <f>HYPERLINK("#'Life,Accident,Critical Illness'!AL2","Type of accident policy")</f>
        <v>Type of accident policy</v>
      </c>
      <c r="G38" s="55" t="str">
        <f>HYPERLINK("#'Short &amp; Long Term Disability'!AL1","Q5.35")</f>
        <v>Q5.35</v>
      </c>
      <c r="H38" s="49" t="str">
        <f>HYPERLINK("#'Short &amp; Long Term Disability'!AL2","Vendor for the most prevalent short-term disability plan")</f>
        <v>Vendor for the most prevalent short-term disability plan</v>
      </c>
      <c r="I38" s="67" t="str">
        <f>HYPERLINK("#'Retirement'!AL1","Q6.35")</f>
        <v>Q6.35</v>
      </c>
      <c r="J38" s="68" t="str">
        <f>HYPERLINK("#'Retirement'!AL2","Have a defined contribution plan for which only executives are eligible to participate")</f>
        <v>Have a defined contribution plan for which only executives are eligible to participate</v>
      </c>
      <c r="O38" s="67" t="str">
        <f>HYPERLINK("#'Leaves'!AL1","Q9.38_8_TEXT")</f>
        <v>Q9.38_8_TEXT</v>
      </c>
      <c r="P38" s="68" t="str">
        <f>HYPERLINK("#'Leaves'!AL2","Other employees eligible to participate in the enhanced paternity leave plan")</f>
        <v>Other employees eligible to participate in the enhanced paternity leave plan</v>
      </c>
      <c r="S38" s="67" t="str">
        <f>HYPERLINK("#'Perks &amp; Allowances'!AL1","Q11.31")</f>
        <v>Q11.31</v>
      </c>
      <c r="T38" s="68" t="str">
        <f>HYPERLINK("#'Perks &amp; Allowances'!AL2","Employees eligible to participate in the annual medical checkup program")</f>
        <v>Employees eligible to participate in the annual medical checkup program</v>
      </c>
      <c r="U38" s="67" t="str">
        <f>HYPERLINK("#'Transportation Policy'!AL1","Q12.23")</f>
        <v>Q12.23</v>
      </c>
      <c r="V38" s="68" t="str">
        <f>HYPERLINK("#'Transportation Policy'!AL2","Factors taken into consideration when determining the car allowance amount")</f>
        <v>Factors taken into consideration when determining the car allowance amount</v>
      </c>
    </row>
    <row r="39" spans="1:22" ht="38.25" x14ac:dyDescent="0.2">
      <c r="A39" s="48" t="str">
        <f>HYPERLINK("#'Private Medical Insurance'!AM1","Q2.31")</f>
        <v>Q2.31</v>
      </c>
      <c r="B39" s="58" t="str">
        <f>HYPERLINK("#'Private Medical Insurance'!AM2","Coverage level in GBP for natural delivery and caesarean section for spouses or domestic partners")</f>
        <v>Coverage level in GBP for natural delivery and caesarean section for spouses or domestic partners</v>
      </c>
      <c r="C39" s="55" t="str">
        <f>HYPERLINK("#'Dental &amp; Vision'!AM1","Q3.28")</f>
        <v>Q3.28</v>
      </c>
      <c r="D39" s="49" t="str">
        <f>HYPERLINK("#'Dental &amp; Vision'!AM2","Individual deductible in GBP for dental benefits")</f>
        <v>Individual deductible in GBP for dental benefits</v>
      </c>
      <c r="E39" s="67" t="str">
        <f>HYPERLINK("#'Life,Accident,Critical Illness'!AM1","Q4.34_4_TEXT")</f>
        <v>Q4.34_4_TEXT</v>
      </c>
      <c r="F39" s="68" t="str">
        <f>HYPERLINK("#'Life,Accident,Critical Illness'!AM2","Other type of accident policy")</f>
        <v>Other type of accident policy</v>
      </c>
      <c r="G39" s="55" t="str">
        <f>HYPERLINK("#'Short &amp; Long Term Disability'!AM1","Q5.37")</f>
        <v>Q5.37</v>
      </c>
      <c r="H39" s="49" t="str">
        <f>HYPERLINK("#'Short &amp; Long Term Disability'!AM2","Offer some type of supplemental long-term disability or total permanent disability benefit")</f>
        <v>Offer some type of supplemental long-term disability or total permanent disability benefit</v>
      </c>
      <c r="I39" s="67" t="str">
        <f>HYPERLINK("#'Retirement'!AM1","Q6.36")</f>
        <v>Q6.36</v>
      </c>
      <c r="J39" s="68" t="str">
        <f>HYPERLINK("#'Retirement'!AM2","Description of the defined contribution plan for which only executives are eligible to participate")</f>
        <v>Description of the defined contribution plan for which only executives are eligible to participate</v>
      </c>
      <c r="O39" s="67" t="str">
        <f>HYPERLINK("#'Leaves'!AM1","Q9.39")</f>
        <v>Q9.39</v>
      </c>
      <c r="P39" s="68" t="str">
        <f>HYPERLINK("#'Leaves'!AM2","Number of days required before new employees are eligible for enhanced paternity leave")</f>
        <v>Number of days required before new employees are eligible for enhanced paternity leave</v>
      </c>
      <c r="S39" s="67" t="str">
        <f>HYPERLINK("#'Perks &amp; Allowances'!AM1","Q11.31_8_TEXT")</f>
        <v>Q11.31_8_TEXT</v>
      </c>
      <c r="T39" s="68" t="str">
        <f>HYPERLINK("#'Perks &amp; Allowances'!AM2","Other employees eligible to participate in the annual medical checkup program")</f>
        <v>Other employees eligible to participate in the annual medical checkup program</v>
      </c>
      <c r="U39" s="67" t="str">
        <f>HYPERLINK("#'Transportation Policy'!AM1","Q12.23_7_TEXT")</f>
        <v>Q12.23_7_TEXT</v>
      </c>
      <c r="V39" s="68" t="str">
        <f>HYPERLINK("#'Transportation Policy'!AM2","Other factors that are taken into consideration when determining the car allowance amount")</f>
        <v>Other factors that are taken into consideration when determining the car allowance amount</v>
      </c>
    </row>
    <row r="40" spans="1:22" ht="38.25" x14ac:dyDescent="0.2">
      <c r="A40" s="48" t="str">
        <f>HYPERLINK("#'Private Medical Insurance'!AN1","Q2.32")</f>
        <v>Q2.32</v>
      </c>
      <c r="B40" s="58" t="str">
        <f>HYPERLINK("#'Private Medical Insurance'!AN2","Waiting period (days) for maternity benefits for new employees")</f>
        <v>Waiting period (days) for maternity benefits for new employees</v>
      </c>
      <c r="C40" s="55" t="str">
        <f>HYPERLINK("#'Dental &amp; Vision'!AN1","Q3.29")</f>
        <v>Q3.29</v>
      </c>
      <c r="D40" s="49" t="str">
        <f>HYPERLINK("#'Dental &amp; Vision'!AN2","Family deductible in GBP for dental benefits")</f>
        <v>Family deductible in GBP for dental benefits</v>
      </c>
      <c r="E40" s="67" t="str">
        <f>HYPERLINK("#'Life,Accident,Critical Illness'!AN1","Q4.35")</f>
        <v>Q4.35</v>
      </c>
      <c r="F40" s="68" t="str">
        <f>HYPERLINK("#'Life,Accident,Critical Illness'!AN2","Other policy that the carrier insured accident policy is a rider to")</f>
        <v>Other policy that the carrier insured accident policy is a rider to</v>
      </c>
      <c r="G40" s="55" t="str">
        <f>HYPERLINK("#'Short &amp; Long Term Disability'!AN1","Q5.39")</f>
        <v>Q5.39</v>
      </c>
      <c r="H40" s="49" t="str">
        <f>HYPERLINK("#'Short &amp; Long Term Disability'!AN2","How the supplemental long-term disability or total permanent disability benefit is offered")</f>
        <v>How the supplemental long-term disability or total permanent disability benefit is offered</v>
      </c>
      <c r="I40" s="67" t="str">
        <f>HYPERLINK("#'Retirement'!AN1","Q6.37")</f>
        <v>Q6.37</v>
      </c>
      <c r="J40" s="68" t="str">
        <f>HYPERLINK("#'Retirement'!AN2","Vendor for the most prevalent defined contribution plan")</f>
        <v>Vendor for the most prevalent defined contribution plan</v>
      </c>
      <c r="O40" s="67" t="str">
        <f>HYPERLINK("#'Leaves'!AN1","Q9.40")</f>
        <v>Q9.40</v>
      </c>
      <c r="P40" s="68" t="str">
        <f>HYPERLINK("#'Leaves'!AN2","Number of weeks an employee is entitled to for enhanced paternity leave")</f>
        <v>Number of weeks an employee is entitled to for enhanced paternity leave</v>
      </c>
      <c r="S40" s="67" t="str">
        <f>HYPERLINK("#'Perks &amp; Allowances'!AN1","Q11.32")</f>
        <v>Q11.32</v>
      </c>
      <c r="T40" s="68" t="str">
        <f>HYPERLINK("#'Perks &amp; Allowances'!AN2","Number of days required before new employees are eligible for the annual medical checkup program")</f>
        <v>Number of days required before new employees are eligible for the annual medical checkup program</v>
      </c>
      <c r="U40" s="67" t="str">
        <f>HYPERLINK("#'Transportation Policy'!AN1","Q12.24")</f>
        <v>Q12.24</v>
      </c>
      <c r="V40" s="68" t="str">
        <f>HYPERLINK("#'Transportation Policy'!AN2","Car allowance included as base pay for computing")</f>
        <v>Car allowance included as base pay for computing</v>
      </c>
    </row>
    <row r="41" spans="1:22" ht="38.25" x14ac:dyDescent="0.2">
      <c r="A41" s="48" t="str">
        <f>HYPERLINK("#'Private Medical Insurance'!AO1","Q2.33")</f>
        <v>Q2.33</v>
      </c>
      <c r="B41" s="58" t="str">
        <f>HYPERLINK("#'Private Medical Insurance'!AO2","Waiting period (days) for PMI participation for new employees")</f>
        <v>Waiting period (days) for PMI participation for new employees</v>
      </c>
      <c r="C41" s="55" t="str">
        <f>HYPERLINK("#'Dental &amp; Vision'!AO1","Q3.30")</f>
        <v>Q3.30</v>
      </c>
      <c r="D41" s="49" t="str">
        <f>HYPERLINK("#'Dental &amp; Vision'!AO2","Annual maximum amount in GBP payable on the dental plan")</f>
        <v>Annual maximum amount in GBP payable on the dental plan</v>
      </c>
      <c r="E41" s="67" t="str">
        <f>HYPERLINK("#'Life,Accident,Critical Illness'!AO1","Q4.36")</f>
        <v>Q4.36</v>
      </c>
      <c r="F41" s="68" t="str">
        <f>HYPERLINK("#'Life,Accident,Critical Illness'!AO2","Provide different accident insurance plan designs, types or levels")</f>
        <v>Provide different accident insurance plan designs, types or levels</v>
      </c>
      <c r="G41" s="55" t="str">
        <f>HYPERLINK("#'Short &amp; Long Term Disability'!AO1","Q5.39_3_TEXT")</f>
        <v>Q5.39_3_TEXT</v>
      </c>
      <c r="H41" s="49" t="str">
        <f>HYPERLINK("#'Short &amp; Long Term Disability'!AO2","Other ways the supplemental long-term disability or total permanent disability benefit is offered")</f>
        <v>Other ways the supplemental long-term disability or total permanent disability benefit is offered</v>
      </c>
      <c r="I41" s="67" t="str">
        <f>HYPERLINK("#'Retirement'!AO1","Q6.37_5_TEXT")</f>
        <v>Q6.37_5_TEXT</v>
      </c>
      <c r="J41" s="68" t="str">
        <f>HYPERLINK("#'Retirement'!AO2","Other vendor for the most prevalent defined contribution plan")</f>
        <v>Other vendor for the most prevalent defined contribution plan</v>
      </c>
      <c r="O41" s="67" t="str">
        <f>HYPERLINK("#'Leaves'!AO1","Q9.42")</f>
        <v>Q9.42</v>
      </c>
      <c r="P41" s="68" t="str">
        <f>HYPERLINK("#'Leaves'!AO2","Approach to shared parental leave")</f>
        <v>Approach to shared parental leave</v>
      </c>
      <c r="S41" s="67" t="str">
        <f>HYPERLINK("#'Perks &amp; Allowances'!AO1","Q11.33")</f>
        <v>Q11.33</v>
      </c>
      <c r="T41" s="68" t="str">
        <f>HYPERLINK("#'Perks &amp; Allowances'!AO2","Annual maximum benefit in GBP, if any, for the annual medical checkup program")</f>
        <v>Annual maximum benefit in GBP, if any, for the annual medical checkup program</v>
      </c>
      <c r="U41" s="67" t="str">
        <f>HYPERLINK("#'Transportation Policy'!AO1","Q12.24_10_TEXT")</f>
        <v>Q12.24_10_TEXT</v>
      </c>
      <c r="V41" s="68" t="str">
        <f>HYPERLINK("#'Transportation Policy'!AO2","Car allowance included as base pay for other computing")</f>
        <v>Car allowance included as base pay for other computing</v>
      </c>
    </row>
    <row r="42" spans="1:22" ht="25.5" x14ac:dyDescent="0.2">
      <c r="A42" s="48" t="str">
        <f>HYPERLINK("#'Private Medical Insurance'!AP1","Q2.34")</f>
        <v>Q2.34</v>
      </c>
      <c r="B42" s="58" t="str">
        <f>HYPERLINK("#'Private Medical Insurance'!AP2","How the benefit is paid for employee coverage (not dependents)")</f>
        <v>How the benefit is paid for employee coverage (not dependents)</v>
      </c>
      <c r="C42" s="55" t="str">
        <f>HYPERLINK("#'Dental &amp; Vision'!AP1","Q3.31")</f>
        <v>Q3.31</v>
      </c>
      <c r="D42" s="49" t="str">
        <f>HYPERLINK("#'Dental &amp; Vision'!AP2","Made dental plan changes due to COVID-19")</f>
        <v>Made dental plan changes due to COVID-19</v>
      </c>
      <c r="E42" s="67" t="str">
        <f>HYPERLINK("#'Life,Accident,Critical Illness'!AP1","Q4.37")</f>
        <v>Q4.37</v>
      </c>
      <c r="F42" s="68" t="str">
        <f>HYPERLINK("#'Life,Accident,Critical Illness'!AP2","Number of accident plan designs or levels ")</f>
        <v xml:space="preserve">Number of accident plan designs or levels </v>
      </c>
      <c r="G42" s="55" t="str">
        <f>HYPERLINK("#'Short &amp; Long Term Disability'!AP1","Q5.40")</f>
        <v>Q5.40</v>
      </c>
      <c r="H42" s="49" t="str">
        <f>HYPERLINK("#'Short &amp; Long Term Disability'!AP2","Approach to insuring supplemental long-term disability or total permanent disability benefits")</f>
        <v>Approach to insuring supplemental long-term disability or total permanent disability benefits</v>
      </c>
      <c r="I42" s="67" t="str">
        <f>HYPERLINK("#'Retirement'!AP1","Q6.39")</f>
        <v>Q6.39</v>
      </c>
      <c r="J42" s="68" t="str">
        <f>HYPERLINK("#'Retirement'!AP2","Provide different defined benefit plan designs, types, or levels")</f>
        <v>Provide different defined benefit plan designs, types, or levels</v>
      </c>
      <c r="O42" s="67" t="str">
        <f>HYPERLINK("#'Leaves'!AP1","Q9.43")</f>
        <v>Q9.43</v>
      </c>
      <c r="P42" s="68" t="str">
        <f>HYPERLINK("#'Leaves'!AP2","How shared parental leave is paid")</f>
        <v>How shared parental leave is paid</v>
      </c>
      <c r="S42" s="67" t="str">
        <f>HYPERLINK("#'Perks &amp; Allowances'!AP1","Q11.34")</f>
        <v>Q11.34</v>
      </c>
      <c r="T42" s="68" t="str">
        <f>HYPERLINK("#'Perks &amp; Allowances'!AP2","Childcare policy")</f>
        <v>Childcare policy</v>
      </c>
      <c r="U42" s="67" t="str">
        <f>HYPERLINK("#'Transportation Policy'!AP1","Q12.26")</f>
        <v>Q12.26</v>
      </c>
      <c r="V42" s="68" t="str">
        <f>HYPERLINK("#'Transportation Policy'!AP2","Types of cars covered under the policy")</f>
        <v>Types of cars covered under the policy</v>
      </c>
    </row>
    <row r="43" spans="1:22" ht="38.25" x14ac:dyDescent="0.2">
      <c r="A43" s="48" t="str">
        <f>HYPERLINK("#'Private Medical Insurance'!AQ1","Q2.35")</f>
        <v>Q2.35</v>
      </c>
      <c r="B43" s="58" t="str">
        <f>HYPERLINK("#'Private Medical Insurance'!AQ2","Method for employee cost sharing")</f>
        <v>Method for employee cost sharing</v>
      </c>
      <c r="C43" s="55" t="str">
        <f>HYPERLINK("#'Dental &amp; Vision'!AQ1","Q3.32")</f>
        <v>Q3.32</v>
      </c>
      <c r="D43" s="49" t="str">
        <f>HYPERLINK("#'Dental &amp; Vision'!AQ2","Dental plan changes made due to COVID-19")</f>
        <v>Dental plan changes made due to COVID-19</v>
      </c>
      <c r="E43" s="67" t="str">
        <f>HYPERLINK("#'Life,Accident,Critical Illness'!AQ1","Q4.38")</f>
        <v>Q4.38</v>
      </c>
      <c r="F43" s="68" t="str">
        <f>HYPERLINK("#'Life,Accident,Critical Illness'!AQ2","Allow employees to increase or decrease their coverage level via flex")</f>
        <v>Allow employees to increase or decrease their coverage level via flex</v>
      </c>
      <c r="G43" s="55" t="str">
        <f>HYPERLINK("#'Short &amp; Long Term Disability'!AQ1","Q5.40_3_TEXT")</f>
        <v>Q5.40_3_TEXT</v>
      </c>
      <c r="H43" s="49" t="str">
        <f>HYPERLINK("#'Short &amp; Long Term Disability'!AQ2","Other approach to insuring supplemental long-term disability or total permanent disability benefits")</f>
        <v>Other approach to insuring supplemental long-term disability or total permanent disability benefits</v>
      </c>
      <c r="I43" s="67" t="str">
        <f>HYPERLINK("#'Retirement'!AQ1","Q6.40")</f>
        <v>Q6.40</v>
      </c>
      <c r="J43" s="68" t="str">
        <f>HYPERLINK("#'Retirement'!AQ2","Number of defined benefit plans")</f>
        <v>Number of defined benefit plans</v>
      </c>
      <c r="O43" s="67" t="str">
        <f>HYPERLINK("#'Leaves'!AQ1","Q9.44")</f>
        <v>Q9.44</v>
      </c>
      <c r="P43" s="68" t="str">
        <f>HYPERLINK("#'Leaves'!AQ2","Employees eligible to participate in the shared parental leave plan")</f>
        <v>Employees eligible to participate in the shared parental leave plan</v>
      </c>
      <c r="S43" s="67" t="str">
        <f>HYPERLINK("#'Perks &amp; Allowances'!AQ1","Q11.35")</f>
        <v>Q11.35</v>
      </c>
      <c r="T43" s="68" t="str">
        <f>HYPERLINK("#'Perks &amp; Allowances'!AQ2","Employees eligible to participate in the childcare program")</f>
        <v>Employees eligible to participate in the childcare program</v>
      </c>
      <c r="U43" s="67" t="str">
        <f>HYPERLINK("#'Transportation Policy'!AQ1","Q12.26_4_TEXT")</f>
        <v>Q12.26_4_TEXT</v>
      </c>
      <c r="V43" s="68" t="str">
        <f>HYPERLINK("#'Transportation Policy'!AQ2","Other types of cars covered under the policy")</f>
        <v>Other types of cars covered under the policy</v>
      </c>
    </row>
    <row r="44" spans="1:22" ht="38.25" x14ac:dyDescent="0.2">
      <c r="A44" s="48" t="str">
        <f>HYPERLINK("#'Private Medical Insurance'!AR1","Q2.36")</f>
        <v>Q2.36</v>
      </c>
      <c r="B44" s="58" t="str">
        <f>HYPERLINK("#'Private Medical Insurance'!AR2","Flat amount in GBP that the employee is required to pay")</f>
        <v>Flat amount in GBP that the employee is required to pay</v>
      </c>
      <c r="C44" s="55" t="str">
        <f>HYPERLINK("#'Dental &amp; Vision'!AR1","Q3.33")</f>
        <v>Q3.33</v>
      </c>
      <c r="D44" s="49" t="str">
        <f>HYPERLINK("#'Dental &amp; Vision'!AR2","Have a dental plan that only executives are eligible to participate in")</f>
        <v>Have a dental plan that only executives are eligible to participate in</v>
      </c>
      <c r="E44" s="67" t="str">
        <f>HYPERLINK("#'Life,Accident,Critical Illness'!AR1","Q4.40")</f>
        <v>Q4.40</v>
      </c>
      <c r="F44" s="68" t="str">
        <f>HYPERLINK("#'Life,Accident,Critical Illness'!AR2","Employees eligible to participate in the supplemental accident insurance plan")</f>
        <v>Employees eligible to participate in the supplemental accident insurance plan</v>
      </c>
      <c r="G44" s="55" t="str">
        <f>HYPERLINK("#'Short &amp; Long Term Disability'!AR1","Q5.41")</f>
        <v>Q5.41</v>
      </c>
      <c r="H44" s="49" t="str">
        <f>HYPERLINK("#'Short &amp; Long Term Disability'!AR2","Type of long-term disability or total permanent disability policy")</f>
        <v>Type of long-term disability or total permanent disability policy</v>
      </c>
      <c r="I44" s="67" t="str">
        <f>HYPERLINK("#'Retirement'!AR1","Q6.42")</f>
        <v>Q6.42</v>
      </c>
      <c r="J44" s="68" t="str">
        <f>HYPERLINK("#'Retirement'!AR2","Employees eligible to participate in the defined contribution plan")</f>
        <v>Employees eligible to participate in the defined contribution plan</v>
      </c>
      <c r="O44" s="67" t="str">
        <f>HYPERLINK("#'Leaves'!AR1","Q9.44_8_TEXT")</f>
        <v>Q9.44_8_TEXT</v>
      </c>
      <c r="P44" s="68" t="str">
        <f>HYPERLINK("#'Leaves'!AR2","Other employees eligible to participate in the shared parental leave plan")</f>
        <v>Other employees eligible to participate in the shared parental leave plan</v>
      </c>
      <c r="S44" s="67" t="str">
        <f>HYPERLINK("#'Perks &amp; Allowances'!AR1","Q11.35_8_TEXT")</f>
        <v>Q11.35_8_TEXT</v>
      </c>
      <c r="T44" s="68" t="str">
        <f>HYPERLINK("#'Perks &amp; Allowances'!AR2","Other employees eligible to participate in the childcare program")</f>
        <v>Other employees eligible to participate in the childcare program</v>
      </c>
      <c r="U44" s="67" t="str">
        <f>HYPERLINK("#'Transportation Policy'!AR1","Q12.27_1")</f>
        <v>Q12.27_1</v>
      </c>
      <c r="V44" s="68" t="str">
        <f>HYPERLINK("#'Transportation Policy'!AR2","Extent financial considerations (i.e., tax treatments) drive the offering of car benefits (i.e., the vehicle itself) - Leased company car  ")</f>
        <v xml:space="preserve">Extent financial considerations (i.e., tax treatments) drive the offering of car benefits (i.e., the vehicle itself) - Leased company car  </v>
      </c>
    </row>
    <row r="45" spans="1:22" ht="51" x14ac:dyDescent="0.2">
      <c r="A45" s="48" t="str">
        <f>HYPERLINK("#'Private Medical Insurance'!AS1","Q2.37")</f>
        <v>Q2.37</v>
      </c>
      <c r="B45" s="58" t="str">
        <f>HYPERLINK("#'Private Medical Insurance'!AS2","Percentage the employee is required to pay")</f>
        <v>Percentage the employee is required to pay</v>
      </c>
      <c r="C45" s="55" t="str">
        <f>HYPERLINK("#'Dental &amp; Vision'!AS1","Q3.34")</f>
        <v>Q3.34</v>
      </c>
      <c r="D45" s="49" t="str">
        <f>HYPERLINK("#'Dental &amp; Vision'!AS2","Description of the dental plan for which only executives are eligible to participate")</f>
        <v>Description of the dental plan for which only executives are eligible to participate</v>
      </c>
      <c r="E45" s="67" t="str">
        <f>HYPERLINK("#'Life,Accident,Critical Illness'!AS1","Q4.40_8_TEXT")</f>
        <v>Q4.40_8_TEXT</v>
      </c>
      <c r="F45" s="68" t="str">
        <f>HYPERLINK("#'Life,Accident,Critical Illness'!AS2","Other employees eligible to participate in the supplemental accident insurance plan")</f>
        <v>Other employees eligible to participate in the supplemental accident insurance plan</v>
      </c>
      <c r="G45" s="55" t="str">
        <f>HYPERLINK("#'Short &amp; Long Term Disability'!AS1","Q5.41_4_TEXT")</f>
        <v>Q5.41_4_TEXT</v>
      </c>
      <c r="H45" s="49" t="str">
        <f>HYPERLINK("#'Short &amp; Long Term Disability'!AS2","Other type of long-term disability or total permanent disability policy")</f>
        <v>Other type of long-term disability or total permanent disability policy</v>
      </c>
      <c r="I45" s="67" t="str">
        <f>HYPERLINK("#'Retirement'!AS1","Q6.42_8_TEXT")</f>
        <v>Q6.42_8_TEXT</v>
      </c>
      <c r="J45" s="68" t="str">
        <f>HYPERLINK("#'Retirement'!AS2","Other employees that are eligible to participate in the defined contribution plan")</f>
        <v>Other employees that are eligible to participate in the defined contribution plan</v>
      </c>
      <c r="O45" s="67" t="str">
        <f>HYPERLINK("#'Leaves'!AS1","Q9.45")</f>
        <v>Q9.45</v>
      </c>
      <c r="P45" s="68" t="str">
        <f>HYPERLINK("#'Leaves'!AS2","Number of days required before new employees are eligible for shared parental leave")</f>
        <v>Number of days required before new employees are eligible for shared parental leave</v>
      </c>
      <c r="S45" s="67" t="str">
        <f>HYPERLINK("#'Perks &amp; Allowances'!AS1","Q11.36")</f>
        <v>Q11.36</v>
      </c>
      <c r="T45" s="68" t="str">
        <f>HYPERLINK("#'Perks &amp; Allowances'!AS2","Number of days required before new employees are eligible for the childcare program")</f>
        <v>Number of days required before new employees are eligible for the childcare program</v>
      </c>
      <c r="U45" s="67" t="str">
        <f>HYPERLINK("#'Transportation Policy'!AS1","Q12.27_2")</f>
        <v>Q12.27_2</v>
      </c>
      <c r="V45" s="68" t="str">
        <f>HYPERLINK("#'Transportation Policy'!AS2","Extent financial considerations (i.e., tax treatments) drive the offering of car benefits (i.e., the vehicle itself) - Purchased company car  ")</f>
        <v xml:space="preserve">Extent financial considerations (i.e., tax treatments) drive the offering of car benefits (i.e., the vehicle itself) - Purchased company car  </v>
      </c>
    </row>
    <row r="46" spans="1:22" ht="38.25" x14ac:dyDescent="0.2">
      <c r="A46" s="48" t="str">
        <f>HYPERLINK("#'Private Medical Insurance'!AT1","Q2.38")</f>
        <v>Q2.38</v>
      </c>
      <c r="B46" s="58" t="str">
        <f>HYPERLINK("#'Private Medical Insurance'!AT2","Flat amount in GBP of the company contribution")</f>
        <v>Flat amount in GBP of the company contribution</v>
      </c>
      <c r="C46" s="55" t="str">
        <f>HYPERLINK("#'Dental &amp; Vision'!AT1","Q3.35")</f>
        <v>Q3.35</v>
      </c>
      <c r="D46" s="49" t="str">
        <f>HYPERLINK("#'Dental &amp; Vision'!AT2","Vendor for the most prevalent dental plan")</f>
        <v>Vendor for the most prevalent dental plan</v>
      </c>
      <c r="E46" s="67" t="str">
        <f>HYPERLINK("#'Life,Accident,Critical Illness'!AT1","Q4.41")</f>
        <v>Q4.41</v>
      </c>
      <c r="F46" s="68" t="str">
        <f>HYPERLINK("#'Life,Accident,Critical Illness'!AT2","Part-time employees eligible to participate in the supplemental accident insurance plan")</f>
        <v>Part-time employees eligible to participate in the supplemental accident insurance plan</v>
      </c>
      <c r="G46" s="55" t="str">
        <f>HYPERLINK("#'Short &amp; Long Term Disability'!AT1","Q5.42")</f>
        <v>Q5.42</v>
      </c>
      <c r="H46" s="49" t="str">
        <f>HYPERLINK("#'Short &amp; Long Term Disability'!AT2","Other policy that the carrier insured long-term disability policy is a rider to")</f>
        <v>Other policy that the carrier insured long-term disability policy is a rider to</v>
      </c>
      <c r="I46" s="67" t="str">
        <f>HYPERLINK("#'Retirement'!AT1","Q6.43")</f>
        <v>Q6.43</v>
      </c>
      <c r="J46" s="68" t="str">
        <f>HYPERLINK("#'Retirement'!AT2","Part-time employees eligible to participate in the defined contribution plan")</f>
        <v>Part-time employees eligible to participate in the defined contribution plan</v>
      </c>
      <c r="O46" s="67" t="str">
        <f>HYPERLINK("#'Leaves'!AT1","Q9.46")</f>
        <v>Q9.46</v>
      </c>
      <c r="P46" s="68" t="str">
        <f>HYPERLINK("#'Leaves'!AT2","Number of weeks an employee is entitled to for shared parental leave")</f>
        <v>Number of weeks an employee is entitled to for shared parental leave</v>
      </c>
      <c r="S46" s="67" t="str">
        <f>HYPERLINK("#'Perks &amp; Allowances'!AT1","Q11.37")</f>
        <v>Q11.37</v>
      </c>
      <c r="T46" s="68" t="str">
        <f>HYPERLINK("#'Perks &amp; Allowances'!AT2","Annual maximum benefit in GBP, if any, for the childcare program")</f>
        <v>Annual maximum benefit in GBP, if any, for the childcare program</v>
      </c>
      <c r="U46" s="67" t="str">
        <f>HYPERLINK("#'Transportation Policy'!AT1","Q12.27_3")</f>
        <v>Q12.27_3</v>
      </c>
      <c r="V46" s="68" t="str">
        <f>HYPERLINK("#'Transportation Policy'!AT2","Extent financial considerations (i.e., tax treatments) drive the offering of car benefits (i.e., the vehicle itself) - Personal car  ")</f>
        <v xml:space="preserve">Extent financial considerations (i.e., tax treatments) drive the offering of car benefits (i.e., the vehicle itself) - Personal car  </v>
      </c>
    </row>
    <row r="47" spans="1:22" ht="51" x14ac:dyDescent="0.2">
      <c r="A47" s="48" t="str">
        <f>HYPERLINK("#'Private Medical Insurance'!AU1","Q2.39")</f>
        <v>Q2.39</v>
      </c>
      <c r="B47" s="58" t="str">
        <f>HYPERLINK("#'Private Medical Insurance'!AU2","How cost sharing is determined")</f>
        <v>How cost sharing is determined</v>
      </c>
      <c r="C47" s="55" t="str">
        <f>HYPERLINK("#'Dental &amp; Vision'!AU1","Q3.35_4_TEXT")</f>
        <v>Q3.35_4_TEXT</v>
      </c>
      <c r="D47" s="49" t="str">
        <f>HYPERLINK("#'Dental &amp; Vision'!AU2","Other vendor for the most prevalent dental plan")</f>
        <v>Other vendor for the most prevalent dental plan</v>
      </c>
      <c r="E47" s="67" t="str">
        <f>HYPERLINK("#'Life,Accident,Critical Illness'!AU1","Q4.42")</f>
        <v>Q4.42</v>
      </c>
      <c r="F47" s="68" t="str">
        <f>HYPERLINK("#'Life,Accident,Critical Illness'!AU2","Minimum hourly eligibility requirement for part-time employees per week")</f>
        <v>Minimum hourly eligibility requirement for part-time employees per week</v>
      </c>
      <c r="G47" s="55" t="str">
        <f>HYPERLINK("#'Short &amp; Long Term Disability'!AU1","Q5.43")</f>
        <v>Q5.43</v>
      </c>
      <c r="H47" s="49" t="str">
        <f>HYPERLINK("#'Short &amp; Long Term Disability'!AU2","Provide different long-term disability or total permanent disability insurance plan designs, types or levels")</f>
        <v>Provide different long-term disability or total permanent disability insurance plan designs, types or levels</v>
      </c>
      <c r="I47" s="67" t="str">
        <f>HYPERLINK("#'Retirement'!AU1","Q6.44")</f>
        <v>Q6.44</v>
      </c>
      <c r="J47" s="68" t="str">
        <f>HYPERLINK("#'Retirement'!AU2","Minimum weekly hourly eligibility requirement for part-time employees ")</f>
        <v xml:space="preserve">Minimum weekly hourly eligibility requirement for part-time employees </v>
      </c>
      <c r="O47" s="67" t="str">
        <f>HYPERLINK("#'Leaves'!AU1","Q9.48")</f>
        <v>Q9.48</v>
      </c>
      <c r="P47" s="68" t="str">
        <f>HYPERLINK("#'Leaves'!AU2","Approach to parental leave")</f>
        <v>Approach to parental leave</v>
      </c>
      <c r="S47" s="67" t="str">
        <f>HYPERLINK("#'Perks &amp; Allowances'!AU1","Q11.38")</f>
        <v>Q11.38</v>
      </c>
      <c r="T47" s="68" t="str">
        <f>HYPERLINK("#'Perks &amp; Allowances'!AU2","Backup childcare policy")</f>
        <v>Backup childcare policy</v>
      </c>
      <c r="U47" s="67" t="str">
        <f>HYPERLINK("#'Transportation Policy'!AU1","Q12.28_1")</f>
        <v>Q12.28_1</v>
      </c>
      <c r="V47" s="68" t="str">
        <f>HYPERLINK("#'Transportation Policy'!AU2","Extent financial considerations (i.e., tax treatments) drive the offering of car allowances (e.g., fuel, parking, insurance, etc.) - Leased company car  ")</f>
        <v xml:space="preserve">Extent financial considerations (i.e., tax treatments) drive the offering of car allowances (e.g., fuel, parking, insurance, etc.) - Leased company car  </v>
      </c>
    </row>
    <row r="48" spans="1:22" ht="51" x14ac:dyDescent="0.2">
      <c r="A48" s="48" t="str">
        <f>HYPERLINK("#'Private Medical Insurance'!AV1","Q2.40_1")</f>
        <v>Q2.40_1</v>
      </c>
      <c r="B48" s="58" t="str">
        <f>HYPERLINK("#'Private Medical Insurance'!AV2","Payer of the supplemental medical benefit for dependent coverage - Spouse")</f>
        <v>Payer of the supplemental medical benefit for dependent coverage - Spouse</v>
      </c>
      <c r="C48" s="55" t="str">
        <f>HYPERLINK("#'Dental &amp; Vision'!AV1","Q3.37")</f>
        <v>Q3.37</v>
      </c>
      <c r="D48" s="49" t="str">
        <f>HYPERLINK("#'Dental &amp; Vision'!AV2","Offer some type of vision benefit")</f>
        <v>Offer some type of vision benefit</v>
      </c>
      <c r="E48" s="67" t="str">
        <f>HYPERLINK("#'Life,Accident,Critical Illness'!AV1","Q4.43")</f>
        <v>Q4.43</v>
      </c>
      <c r="F48" s="68" t="str">
        <f>HYPERLINK("#'Life,Accident,Critical Illness'!AV2","Accident benefits included in the policy")</f>
        <v>Accident benefits included in the policy</v>
      </c>
      <c r="G48" s="55" t="str">
        <f>HYPERLINK("#'Short &amp; Long Term Disability'!AV1","Q5.44")</f>
        <v>Q5.44</v>
      </c>
      <c r="H48" s="49" t="str">
        <f>HYPERLINK("#'Short &amp; Long Term Disability'!AV2","Number of long-term disability or total permanent disability plan designs or levels")</f>
        <v>Number of long-term disability or total permanent disability plan designs or levels</v>
      </c>
      <c r="I48" s="67" t="str">
        <f>HYPERLINK("#'Retirement'!AV1","Q6.45")</f>
        <v>Q6.45</v>
      </c>
      <c r="J48" s="68" t="str">
        <f>HYPERLINK("#'Retirement'!AV2","Types of compensation used in calculating contributions")</f>
        <v>Types of compensation used in calculating contributions</v>
      </c>
      <c r="O48" s="67" t="str">
        <f>HYPERLINK("#'Leaves'!AV1","Q9.49")</f>
        <v>Q9.49</v>
      </c>
      <c r="P48" s="68" t="str">
        <f>HYPERLINK("#'Leaves'!AV2","How parental leave is paid")</f>
        <v>How parental leave is paid</v>
      </c>
      <c r="S48" s="67" t="str">
        <f>HYPERLINK("#'Perks &amp; Allowances'!AV1","Q11.39")</f>
        <v>Q11.39</v>
      </c>
      <c r="T48" s="68" t="str">
        <f>HYPERLINK("#'Perks &amp; Allowances'!AV2","Employees eligible to participate in the backup childcare program")</f>
        <v>Employees eligible to participate in the backup childcare program</v>
      </c>
      <c r="U48" s="67" t="str">
        <f>HYPERLINK("#'Transportation Policy'!AV1","Q12.28_2")</f>
        <v>Q12.28_2</v>
      </c>
      <c r="V48" s="68" t="str">
        <f>HYPERLINK("#'Transportation Policy'!AV2","Extent financial considerations (i.e., tax treatments) drive the offering of car allowances (e.g., fuel, parking, insurance, etc.) - Purchased company car ")</f>
        <v xml:space="preserve">Extent financial considerations (i.e., tax treatments) drive the offering of car allowances (e.g., fuel, parking, insurance, etc.) - Purchased company car </v>
      </c>
    </row>
    <row r="49" spans="1:22" ht="51" x14ac:dyDescent="0.2">
      <c r="A49" s="48" t="str">
        <f>HYPERLINK("#'Private Medical Insurance'!AW1","Q2.40_2")</f>
        <v>Q2.40_2</v>
      </c>
      <c r="B49" s="58" t="str">
        <f>HYPERLINK("#'Private Medical Insurance'!AW2","Payer of the supplemental medical benefit for dependent coverage - Domestic partner")</f>
        <v>Payer of the supplemental medical benefit for dependent coverage - Domestic partner</v>
      </c>
      <c r="C49" s="55" t="str">
        <f>HYPERLINK("#'Dental &amp; Vision'!AW1","Q3.39")</f>
        <v>Q3.39</v>
      </c>
      <c r="D49" s="49" t="str">
        <f>HYPERLINK("#'Dental &amp; Vision'!AW2","Types of vision benefits offered")</f>
        <v>Types of vision benefits offered</v>
      </c>
      <c r="E49" s="67" t="str">
        <f>HYPERLINK("#'Life,Accident,Critical Illness'!AW1","Q4.43_5_TEXT")</f>
        <v>Q4.43_5_TEXT</v>
      </c>
      <c r="F49" s="68" t="str">
        <f>HYPERLINK("#'Life,Accident,Critical Illness'!AW2","Other accident benefits included in the policy")</f>
        <v>Other accident benefits included in the policy</v>
      </c>
      <c r="G49" s="55" t="str">
        <f>HYPERLINK("#'Short &amp; Long Term Disability'!AW1","Q5.46")</f>
        <v>Q5.46</v>
      </c>
      <c r="H49" s="49" t="str">
        <f>HYPERLINK("#'Short &amp; Long Term Disability'!AW2","Employees eligible to participate in the long-term disability or total permanent disability insurance plan")</f>
        <v>Employees eligible to participate in the long-term disability or total permanent disability insurance plan</v>
      </c>
      <c r="I49" s="67" t="str">
        <f>HYPERLINK("#'Retirement'!AW1","Q6.45_6_TEXT")</f>
        <v>Q6.45_6_TEXT</v>
      </c>
      <c r="J49" s="68" t="str">
        <f>HYPERLINK("#'Retirement'!AW2","Other types of compensation used in calculating contributions")</f>
        <v>Other types of compensation used in calculating contributions</v>
      </c>
      <c r="O49" s="67" t="str">
        <f>HYPERLINK("#'Leaves'!AW1","Q9.50")</f>
        <v>Q9.50</v>
      </c>
      <c r="P49" s="68" t="str">
        <f>HYPERLINK("#'Leaves'!AW2","Employees eligible to participate in the parental leave plan")</f>
        <v>Employees eligible to participate in the parental leave plan</v>
      </c>
      <c r="S49" s="67" t="str">
        <f>HYPERLINK("#'Perks &amp; Allowances'!AW1","Q11.39_8_TEXT")</f>
        <v>Q11.39_8_TEXT</v>
      </c>
      <c r="T49" s="68" t="str">
        <f>HYPERLINK("#'Perks &amp; Allowances'!AW2","Other employees eligible to participate in the backup childcare program")</f>
        <v>Other employees eligible to participate in the backup childcare program</v>
      </c>
      <c r="U49" s="67" t="str">
        <f>HYPERLINK("#'Transportation Policy'!AW1","Q12.28_3")</f>
        <v>Q12.28_3</v>
      </c>
      <c r="V49" s="68" t="str">
        <f>HYPERLINK("#'Transportation Policy'!AW2","Extent financial considerations (i.e., tax treatments) drive the offering of car allowances (e.g., fuel, parking, insurance, etc.) - Personal car ")</f>
        <v xml:space="preserve">Extent financial considerations (i.e., tax treatments) drive the offering of car allowances (e.g., fuel, parking, insurance, etc.) - Personal car </v>
      </c>
    </row>
    <row r="50" spans="1:22" ht="38.25" x14ac:dyDescent="0.2">
      <c r="A50" s="48" t="str">
        <f>HYPERLINK("#'Private Medical Insurance'!AX1","Q2.40_3")</f>
        <v>Q2.40_3</v>
      </c>
      <c r="B50" s="58" t="str">
        <f>HYPERLINK("#'Private Medical Insurance'!AX2","Payer of the supplemental medical benefit for dependent coverage - Child (only one)")</f>
        <v>Payer of the supplemental medical benefit for dependent coverage - Child (only one)</v>
      </c>
      <c r="C50" s="55" t="str">
        <f>HYPERLINK("#'Dental &amp; Vision'!AX1","Q3.39_3_TEXT")</f>
        <v>Q3.39_3_TEXT</v>
      </c>
      <c r="D50" s="49" t="str">
        <f>HYPERLINK("#'Dental &amp; Vision'!AX2","Other types of vision benefits offered")</f>
        <v>Other types of vision benefits offered</v>
      </c>
      <c r="E50" s="67" t="str">
        <f>HYPERLINK("#'Life,Accident,Critical Illness'!AX1","Q4.44")</f>
        <v>Q4.44</v>
      </c>
      <c r="F50" s="68" t="str">
        <f>HYPERLINK("#'Life,Accident,Critical Illness'!AX2","Type of benefit provided")</f>
        <v>Type of benefit provided</v>
      </c>
      <c r="G50" s="55" t="str">
        <f>HYPERLINK("#'Short &amp; Long Term Disability'!AX1","Q5.46_8_TEXT")</f>
        <v>Q5.46_8_TEXT</v>
      </c>
      <c r="H50" s="49" t="str">
        <f>HYPERLINK("#'Short &amp; Long Term Disability'!AX2","Other employees eligible to participate in the long-term disability or total permanent disability insurance plan")</f>
        <v>Other employees eligible to participate in the long-term disability or total permanent disability insurance plan</v>
      </c>
      <c r="I50" s="67" t="str">
        <f>HYPERLINK("#'Retirement'!AX1","Q6.46")</f>
        <v>Q6.46</v>
      </c>
      <c r="J50" s="68" t="str">
        <f>HYPERLINK("#'Retirement'!AX2","Number of days required before new employees are eligible to participate in the defined benefit plan")</f>
        <v>Number of days required before new employees are eligible to participate in the defined benefit plan</v>
      </c>
      <c r="O50" s="67" t="str">
        <f>HYPERLINK("#'Leaves'!AX1","Q9.50_8_TEXT")</f>
        <v>Q9.50_8_TEXT</v>
      </c>
      <c r="P50" s="68" t="str">
        <f>HYPERLINK("#'Leaves'!AX2","Other employees eligible to participate in the parental leave plan")</f>
        <v>Other employees eligible to participate in the parental leave plan</v>
      </c>
      <c r="S50" s="67" t="str">
        <f>HYPERLINK("#'Perks &amp; Allowances'!AX1","Q11.40")</f>
        <v>Q11.40</v>
      </c>
      <c r="T50" s="68" t="str">
        <f>HYPERLINK("#'Perks &amp; Allowances'!AX2","Number of days required before new employees are eligible for the backup childcare program")</f>
        <v>Number of days required before new employees are eligible for the backup childcare program</v>
      </c>
      <c r="U50" s="67" t="str">
        <f>HYPERLINK("#'Transportation Policy'!AX1","Q12.29_1")</f>
        <v>Q12.29_1</v>
      </c>
      <c r="V50" s="68" t="str">
        <f>HYPERLINK("#'Transportation Policy'!AX2","Policy includes fuel ")</f>
        <v xml:space="preserve">Policy includes fuel </v>
      </c>
    </row>
    <row r="51" spans="1:22" ht="38.25" x14ac:dyDescent="0.2">
      <c r="A51" s="48" t="str">
        <f>HYPERLINK("#'Private Medical Insurance'!AY1","Q2.40_4")</f>
        <v>Q2.40_4</v>
      </c>
      <c r="B51" s="58" t="str">
        <f>HYPERLINK("#'Private Medical Insurance'!AY2","Payer of the supplemental medical benefit for dependent coverage - Children (no limit)")</f>
        <v>Payer of the supplemental medical benefit for dependent coverage - Children (no limit)</v>
      </c>
      <c r="C51" s="55" t="str">
        <f>HYPERLINK("#'Dental &amp; Vision'!AY1","Q3.41")</f>
        <v>Q3.41</v>
      </c>
      <c r="D51" s="49" t="str">
        <f>HYPERLINK("#'Dental &amp; Vision'!AY2","Groups eligible to receive vision benefits")</f>
        <v>Groups eligible to receive vision benefits</v>
      </c>
      <c r="E51" s="67" t="str">
        <f>HYPERLINK("#'Life,Accident,Critical Illness'!AY1","Q4.44_3_TEXT")</f>
        <v>Q4.44_3_TEXT</v>
      </c>
      <c r="F51" s="68" t="str">
        <f>HYPERLINK("#'Life,Accident,Critical Illness'!AY2","Other type of benefit provided")</f>
        <v>Other type of benefit provided</v>
      </c>
      <c r="G51" s="55" t="str">
        <f>HYPERLINK("#'Short &amp; Long Term Disability'!AY1","Q5.47")</f>
        <v>Q5.47</v>
      </c>
      <c r="H51" s="49" t="str">
        <f>HYPERLINK("#'Short &amp; Long Term Disability'!AY2","Part-time employees eligible to participate in the long-term disability or total permanent disability insurance plan")</f>
        <v>Part-time employees eligible to participate in the long-term disability or total permanent disability insurance plan</v>
      </c>
      <c r="I51" s="67" t="str">
        <f>HYPERLINK("#'Retirement'!AY1","Q6.47")</f>
        <v>Q6.47</v>
      </c>
      <c r="J51" s="68" t="str">
        <f>HYPERLINK("#'Retirement'!AY2","Approach to employee participation")</f>
        <v>Approach to employee participation</v>
      </c>
      <c r="O51" s="67" t="str">
        <f>HYPERLINK("#'Leaves'!AY1","Q9.51")</f>
        <v>Q9.51</v>
      </c>
      <c r="P51" s="68" t="str">
        <f>HYPERLINK("#'Leaves'!AY2","Number of days required before new employees are eligible for parental leave")</f>
        <v>Number of days required before new employees are eligible for parental leave</v>
      </c>
      <c r="S51" s="67" t="str">
        <f>HYPERLINK("#'Perks &amp; Allowances'!AY1","Q11.41")</f>
        <v>Q11.41</v>
      </c>
      <c r="T51" s="68" t="str">
        <f>HYPERLINK("#'Perks &amp; Allowances'!AY2","Number of backup childcare days available each year")</f>
        <v>Number of backup childcare days available each year</v>
      </c>
      <c r="U51" s="67" t="str">
        <f>HYPERLINK("#'Transportation Policy'!AY1","Q12.29_2")</f>
        <v>Q12.29_2</v>
      </c>
      <c r="V51" s="68" t="str">
        <f>HYPERLINK("#'Transportation Policy'!AY2","Policy includes parking")</f>
        <v>Policy includes parking</v>
      </c>
    </row>
    <row r="52" spans="1:22" ht="25.5" x14ac:dyDescent="0.2">
      <c r="A52" s="48" t="str">
        <f>HYPERLINK("#'Private Medical Insurance'!AZ1","Q2.40_5")</f>
        <v>Q2.40_5</v>
      </c>
      <c r="B52" s="58" t="str">
        <f>HYPERLINK("#'Private Medical Insurance'!AZ2","Payer of the supplemental medical benefit for dependent coverage - Parents")</f>
        <v>Payer of the supplemental medical benefit for dependent coverage - Parents</v>
      </c>
      <c r="C52" s="55" t="str">
        <f>HYPERLINK("#'Dental &amp; Vision'!AZ1","Q3.42")</f>
        <v>Q3.42</v>
      </c>
      <c r="D52" s="49" t="str">
        <f>HYPERLINK("#'Dental &amp; Vision'!AZ2","Employees eligible to participate in the vision plan")</f>
        <v>Employees eligible to participate in the vision plan</v>
      </c>
      <c r="E52" s="67" t="str">
        <f>HYPERLINK("#'Life,Accident,Critical Illness'!AZ1","Q4.45")</f>
        <v>Q4.45</v>
      </c>
      <c r="F52" s="68" t="str">
        <f>HYPERLINK("#'Life,Accident,Critical Illness'!AZ2","Types of compensation eligible under the plan")</f>
        <v>Types of compensation eligible under the plan</v>
      </c>
      <c r="G52" s="55" t="str">
        <f>HYPERLINK("#'Short &amp; Long Term Disability'!AZ1","Q5.48")</f>
        <v>Q5.48</v>
      </c>
      <c r="H52" s="49" t="str">
        <f>HYPERLINK("#'Short &amp; Long Term Disability'!AZ2","Minimum hourly eligibility requirement for part-time employees per week")</f>
        <v>Minimum hourly eligibility requirement for part-time employees per week</v>
      </c>
      <c r="I52" s="67" t="str">
        <f>HYPERLINK("#'Retirement'!AZ1","Q6.48")</f>
        <v>Q6.48</v>
      </c>
      <c r="J52" s="68" t="str">
        <f>HYPERLINK("#'Retirement'!AZ2","Percentage an employee required to contribute")</f>
        <v>Percentage an employee required to contribute</v>
      </c>
      <c r="O52" s="67" t="str">
        <f>HYPERLINK("#'Leaves'!AZ1","Q9.52")</f>
        <v>Q9.52</v>
      </c>
      <c r="P52" s="68" t="str">
        <f>HYPERLINK("#'Leaves'!AZ2","Number of weeks an employee is entitled to for parental leave")</f>
        <v>Number of weeks an employee is entitled to for parental leave</v>
      </c>
      <c r="S52" s="67" t="str">
        <f>HYPERLINK("#'Perks &amp; Allowances'!AZ1","Q11.42")</f>
        <v>Q11.42</v>
      </c>
      <c r="T52" s="68" t="str">
        <f>HYPERLINK("#'Perks &amp; Allowances'!AZ2","Annual maximum benefit in GBP, if any, for the backup childcare program")</f>
        <v>Annual maximum benefit in GBP, if any, for the backup childcare program</v>
      </c>
      <c r="U52" s="67" t="str">
        <f>HYPERLINK("#'Transportation Policy'!AZ1","Q12.29_3")</f>
        <v>Q12.29_3</v>
      </c>
      <c r="V52" s="68" t="str">
        <f>HYPERLINK("#'Transportation Policy'!AZ2","Policy includes road toll costs")</f>
        <v>Policy includes road toll costs</v>
      </c>
    </row>
    <row r="53" spans="1:22" ht="25.5" x14ac:dyDescent="0.2">
      <c r="A53" s="48" t="str">
        <f>HYPERLINK("#'Private Medical Insurance'!BA1","Q2.40_6")</f>
        <v>Q2.40_6</v>
      </c>
      <c r="B53" s="58" t="str">
        <f>HYPERLINK("#'Private Medical Insurance'!BA2","Payer of the supplemental medical benefit for dependent coverage - Parents-in-law")</f>
        <v>Payer of the supplemental medical benefit for dependent coverage - Parents-in-law</v>
      </c>
      <c r="C53" s="55" t="str">
        <f>HYPERLINK("#'Dental &amp; Vision'!BA1","Q3.42_8_TEXT")</f>
        <v>Q3.42_8_TEXT</v>
      </c>
      <c r="D53" s="49" t="str">
        <f>HYPERLINK("#'Dental &amp; Vision'!BA2","Other employees eligible to participate in the vision plan")</f>
        <v>Other employees eligible to participate in the vision plan</v>
      </c>
      <c r="E53" s="67" t="str">
        <f>HYPERLINK("#'Life,Accident,Critical Illness'!BA1","Q4.45_7_TEXT")</f>
        <v>Q4.45_7_TEXT</v>
      </c>
      <c r="F53" s="68" t="str">
        <f>HYPERLINK("#'Life,Accident,Critical Illness'!BA2","Other types of compensation eligible under the plan")</f>
        <v>Other types of compensation eligible under the plan</v>
      </c>
      <c r="G53" s="55" t="str">
        <f>HYPERLINK("#'Short &amp; Long Term Disability'!BA1","Q5.49")</f>
        <v>Q5.49</v>
      </c>
      <c r="H53" s="49" t="str">
        <f>HYPERLINK("#'Short &amp; Long Term Disability'!BA2","Long-term disability or total permanent disability benefits included in the policy")</f>
        <v>Long-term disability or total permanent disability benefits included in the policy</v>
      </c>
      <c r="I53" s="67" t="str">
        <f>HYPERLINK("#'Retirement'!BA1","Q6.49")</f>
        <v>Q6.49</v>
      </c>
      <c r="J53" s="68" t="str">
        <f>HYPERLINK("#'Retirement'!BA2","Approach to the company's participation")</f>
        <v>Approach to the company's participation</v>
      </c>
      <c r="O53" s="67" t="str">
        <f>HYPERLINK("#'Leaves'!BA1","Q9.54")</f>
        <v>Q9.54</v>
      </c>
      <c r="P53" s="68" t="str">
        <f>HYPERLINK("#'Leaves'!BA2","Approach to adoption leave")</f>
        <v>Approach to adoption leave</v>
      </c>
      <c r="S53" s="67" t="str">
        <f>HYPERLINK("#'Perks &amp; Allowances'!BA1","Q11.43")</f>
        <v>Q11.43</v>
      </c>
      <c r="T53" s="68" t="str">
        <f>HYPERLINK("#'Perks &amp; Allowances'!BA2","Eldercare policy")</f>
        <v>Eldercare policy</v>
      </c>
      <c r="U53" s="67" t="str">
        <f>HYPERLINK("#'Transportation Policy'!BA1","Q12.29_4")</f>
        <v>Q12.29_4</v>
      </c>
      <c r="V53" s="68" t="str">
        <f>HYPERLINK("#'Transportation Policy'!BA2","Policy includes car washes ")</f>
        <v xml:space="preserve">Policy includes car washes </v>
      </c>
    </row>
    <row r="54" spans="1:22" ht="25.5" x14ac:dyDescent="0.2">
      <c r="A54" s="48" t="str">
        <f>HYPERLINK("#'Private Medical Insurance'!BB1","Q2.40_7")</f>
        <v>Q2.40_7</v>
      </c>
      <c r="B54" s="58" t="str">
        <f>HYPERLINK("#'Private Medical Insurance'!BB2","Payer of the supplemental medical benefit for dependent coverage - Other")</f>
        <v>Payer of the supplemental medical benefit for dependent coverage - Other</v>
      </c>
      <c r="C54" s="55" t="str">
        <f>HYPERLINK("#'Dental &amp; Vision'!BB1","Q3.43")</f>
        <v>Q3.43</v>
      </c>
      <c r="D54" s="49" t="str">
        <f>HYPERLINK("#'Dental &amp; Vision'!BB2","Part-time employees eligible to participate in the vision plan")</f>
        <v>Part-time employees eligible to participate in the vision plan</v>
      </c>
      <c r="E54" s="67" t="str">
        <f>HYPERLINK("#'Life,Accident,Critical Illness'!BB1","Q4.46")</f>
        <v>Q4.46</v>
      </c>
      <c r="F54" s="68" t="str">
        <f>HYPERLINK("#'Life,Accident,Critical Illness'!BB2","Number of days required before new employees are eligible for accident benefits")</f>
        <v>Number of days required before new employees are eligible for accident benefits</v>
      </c>
      <c r="G54" s="55" t="str">
        <f>HYPERLINK("#'Short &amp; Long Term Disability'!BB1","Q5.49_6_TEXT")</f>
        <v>Q5.49_6_TEXT</v>
      </c>
      <c r="H54" s="49" t="str">
        <f>HYPERLINK("#'Short &amp; Long Term Disability'!BB2","Other long-term disability or total permanent disability benefits included in the policy")</f>
        <v>Other long-term disability or total permanent disability benefits included in the policy</v>
      </c>
      <c r="I54" s="67" t="str">
        <f>HYPERLINK("#'Retirement'!BB1","Q6.50")</f>
        <v>Q6.50</v>
      </c>
      <c r="J54" s="68" t="str">
        <f>HYPERLINK("#'Retirement'!BB2","Means for company contribution")</f>
        <v>Means for company contribution</v>
      </c>
      <c r="O54" s="67" t="str">
        <f>HYPERLINK("#'Leaves'!BB1","Q9.55")</f>
        <v>Q9.55</v>
      </c>
      <c r="P54" s="68" t="str">
        <f>HYPERLINK("#'Leaves'!BB2","How adoption leave is paid")</f>
        <v>How adoption leave is paid</v>
      </c>
      <c r="S54" s="67" t="str">
        <f>HYPERLINK("#'Perks &amp; Allowances'!BB1","Q11.44")</f>
        <v>Q11.44</v>
      </c>
      <c r="T54" s="68" t="str">
        <f>HYPERLINK("#'Perks &amp; Allowances'!BB2","Employees eligible to participate in the eldercare program")</f>
        <v>Employees eligible to participate in the eldercare program</v>
      </c>
      <c r="U54" s="67" t="str">
        <f>HYPERLINK("#'Transportation Policy'!BB1","Q12.29_5")</f>
        <v>Q12.29_5</v>
      </c>
      <c r="V54" s="68" t="str">
        <f>HYPERLINK("#'Transportation Policy'!BB2","Policy includes insurance")</f>
        <v>Policy includes insurance</v>
      </c>
    </row>
    <row r="55" spans="1:22" ht="25.5" x14ac:dyDescent="0.2">
      <c r="A55" s="48" t="str">
        <f>HYPERLINK("#'Private Medical Insurance'!BC1","Q2.40_7_TEXT")</f>
        <v>Q2.40_7_TEXT</v>
      </c>
      <c r="B55" s="58" t="str">
        <f>HYPERLINK("#'Private Medical Insurance'!BC2","Description of other dependent")</f>
        <v>Description of other dependent</v>
      </c>
      <c r="C55" s="55" t="str">
        <f>HYPERLINK("#'Dental &amp; Vision'!BC1","Q3.44")</f>
        <v>Q3.44</v>
      </c>
      <c r="D55" s="49" t="str">
        <f>HYPERLINK("#'Dental &amp; Vision'!BC2","Minimum hourly eligibility requirement for part-time employees per week")</f>
        <v>Minimum hourly eligibility requirement for part-time employees per week</v>
      </c>
      <c r="E55" s="67" t="str">
        <f>HYPERLINK("#'Life,Accident,Critical Illness'!BC1","Q4.47")</f>
        <v>Q4.47</v>
      </c>
      <c r="F55" s="68" t="str">
        <f>HYPERLINK("#'Life,Accident,Critical Illness'!BC2","Approach to employee participation")</f>
        <v>Approach to employee participation</v>
      </c>
      <c r="G55" s="55" t="str">
        <f>HYPERLINK("#'Short &amp; Long Term Disability'!BC1","Q5.50")</f>
        <v>Q5.50</v>
      </c>
      <c r="H55" s="49" t="str">
        <f>HYPERLINK("#'Short &amp; Long Term Disability'!BC2","Definition of disability. Inability to perform")</f>
        <v>Definition of disability. Inability to perform</v>
      </c>
      <c r="I55" s="67" t="str">
        <f>HYPERLINK("#'Retirement'!BC1","Q6.51")</f>
        <v>Q6.51</v>
      </c>
      <c r="J55" s="68" t="str">
        <f>HYPERLINK("#'Retirement'!BC2","Percentage the company contributes")</f>
        <v>Percentage the company contributes</v>
      </c>
      <c r="O55" s="67" t="str">
        <f>HYPERLINK("#'Leaves'!BC1","Q9.56")</f>
        <v>Q9.56</v>
      </c>
      <c r="P55" s="68" t="str">
        <f>HYPERLINK("#'Leaves'!BC2","Employees eligible to participate in the adoption leave plan")</f>
        <v>Employees eligible to participate in the adoption leave plan</v>
      </c>
      <c r="S55" s="67" t="str">
        <f>HYPERLINK("#'Perks &amp; Allowances'!BC1","Q11.44_8_TEXT")</f>
        <v>Q11.44_8_TEXT</v>
      </c>
      <c r="T55" s="68" t="str">
        <f>HYPERLINK("#'Perks &amp; Allowances'!BC2","Other employees eligible to participate in the eldercare program")</f>
        <v>Other employees eligible to participate in the eldercare program</v>
      </c>
      <c r="U55" s="67" t="str">
        <f>HYPERLINK("#'Transportation Policy'!BC1","Q12.29_6")</f>
        <v>Q12.29_6</v>
      </c>
      <c r="V55" s="68" t="str">
        <f>HYPERLINK("#'Transportation Policy'!BC2","Policy includes maintenance")</f>
        <v>Policy includes maintenance</v>
      </c>
    </row>
    <row r="56" spans="1:22" ht="38.25" x14ac:dyDescent="0.2">
      <c r="A56" s="48" t="str">
        <f>HYPERLINK("#'Private Medical Insurance'!BD1","Q2.41")</f>
        <v>Q2.41</v>
      </c>
      <c r="B56" s="58" t="str">
        <f>HYPERLINK("#'Private Medical Insurance'!BD2","Type of institution or method of providing hospital and/or surgical benefits")</f>
        <v>Type of institution or method of providing hospital and/or surgical benefits</v>
      </c>
      <c r="C56" s="55" t="str">
        <f>HYPERLINK("#'Dental &amp; Vision'!BD1","Q3.45")</f>
        <v>Q3.45</v>
      </c>
      <c r="D56" s="49" t="str">
        <f>HYPERLINK("#'Dental &amp; Vision'!BD2","Dependents eligible to participate in the vision plan")</f>
        <v>Dependents eligible to participate in the vision plan</v>
      </c>
      <c r="E56" s="67" t="str">
        <f>HYPERLINK("#'Life,Accident,Critical Illness'!BD1","Q4.48")</f>
        <v>Q4.48</v>
      </c>
      <c r="F56" s="68" t="str">
        <f>HYPERLINK("#'Life,Accident,Critical Illness'!BD2","Benefit formula used for the plan")</f>
        <v>Benefit formula used for the plan</v>
      </c>
      <c r="G56" s="55" t="str">
        <f>HYPERLINK("#'Short &amp; Long Term Disability'!BD1","Q5.50_3_TEXT")</f>
        <v>Q5.50_3_TEXT</v>
      </c>
      <c r="H56" s="49" t="str">
        <f>HYPERLINK("#'Short &amp; Long Term Disability'!BD2","Other definition of disability. Inability to perform")</f>
        <v>Other definition of disability. Inability to perform</v>
      </c>
      <c r="I56" s="67" t="str">
        <f>HYPERLINK("#'Retirement'!BD1","Q6.52")</f>
        <v>Q6.52</v>
      </c>
      <c r="J56" s="68" t="str">
        <f>HYPERLINK("#'Retirement'!BD2","Flat amount the company contributes in GBP")</f>
        <v>Flat amount the company contributes in GBP</v>
      </c>
      <c r="O56" s="67" t="str">
        <f>HYPERLINK("#'Leaves'!BD1","Q9.56_8_TEXT")</f>
        <v>Q9.56_8_TEXT</v>
      </c>
      <c r="P56" s="68" t="str">
        <f>HYPERLINK("#'Leaves'!BD2","Other employees eligible to participate in the adoption leave plan")</f>
        <v>Other employees eligible to participate in the adoption leave plan</v>
      </c>
      <c r="S56" s="67" t="str">
        <f>HYPERLINK("#'Perks &amp; Allowances'!BD1","Q11.45")</f>
        <v>Q11.45</v>
      </c>
      <c r="T56" s="68" t="str">
        <f>HYPERLINK("#'Perks &amp; Allowances'!BD2","Number of days required before new employees are eligible for the eldercare program")</f>
        <v>Number of days required before new employees are eligible for the eldercare program</v>
      </c>
      <c r="U56" s="67" t="str">
        <f>HYPERLINK("#'Transportation Policy'!BD1","Q12.29_7")</f>
        <v>Q12.29_7</v>
      </c>
      <c r="V56" s="68" t="str">
        <f>HYPERLINK("#'Transportation Policy'!BD2","Policy includes mileage")</f>
        <v>Policy includes mileage</v>
      </c>
    </row>
    <row r="57" spans="1:22" ht="38.25" x14ac:dyDescent="0.2">
      <c r="A57" s="48" t="str">
        <f>HYPERLINK("#'Private Medical Insurance'!BE1","Q2.41_4_TEXT")</f>
        <v>Q2.41_4_TEXT</v>
      </c>
      <c r="B57" s="58" t="str">
        <f>HYPERLINK("#'Private Medical Insurance'!BE2","Other type of institution or method of providing hospital and/or surgical benefits")</f>
        <v>Other type of institution or method of providing hospital and/or surgical benefits</v>
      </c>
      <c r="C57" s="55" t="str">
        <f>HYPERLINK("#'Dental &amp; Vision'!BE1","Q3.45_7_TEXT")</f>
        <v>Q3.45_7_TEXT</v>
      </c>
      <c r="D57" s="49" t="str">
        <f>HYPERLINK("#'Dental &amp; Vision'!BE2","Other dependents eligible to participate in the vision plan")</f>
        <v>Other dependents eligible to participate in the vision plan</v>
      </c>
      <c r="E57" s="67" t="str">
        <f>HYPERLINK("#'Life,Accident,Critical Illness'!BE1","Q4.49")</f>
        <v>Q4.49</v>
      </c>
      <c r="F57" s="68" t="str">
        <f>HYPERLINK("#'Life,Accident,Critical Illness'!BE2","Flat amount is the same for all employees")</f>
        <v>Flat amount is the same for all employees</v>
      </c>
      <c r="G57" s="55" t="str">
        <f>HYPERLINK("#'Short &amp; Long Term Disability'!BE1","Q5.51")</f>
        <v>Q5.51</v>
      </c>
      <c r="H57" s="49" t="str">
        <f>HYPERLINK("#'Short &amp; Long Term Disability'!BE2","Types of compensation covered/eligible under the long-term disability or total permanent disability plan")</f>
        <v>Types of compensation covered/eligible under the long-term disability or total permanent disability plan</v>
      </c>
      <c r="I57" s="67" t="str">
        <f>HYPERLINK("#'Retirement'!BE1","Q6.53")</f>
        <v>Q6.53</v>
      </c>
      <c r="J57" s="68" t="str">
        <f>HYPERLINK("#'Retirement'!BE2","Other amount the company contributes")</f>
        <v>Other amount the company contributes</v>
      </c>
      <c r="O57" s="67" t="str">
        <f>HYPERLINK("#'Leaves'!BE1","Q9.57")</f>
        <v>Q9.57</v>
      </c>
      <c r="P57" s="68" t="str">
        <f>HYPERLINK("#'Leaves'!BE2","Number of days required before new employees are eligible for adoption leave")</f>
        <v>Number of days required before new employees are eligible for adoption leave</v>
      </c>
      <c r="S57" s="67" t="str">
        <f>HYPERLINK("#'Perks &amp; Allowances'!BE1","Q11.46")</f>
        <v>Q11.46</v>
      </c>
      <c r="T57" s="68" t="str">
        <f>HYPERLINK("#'Perks &amp; Allowances'!BE2","Number of eldercare days available each year")</f>
        <v>Number of eldercare days available each year</v>
      </c>
      <c r="U57" s="67" t="str">
        <f>HYPERLINK("#'Transportation Policy'!BE1","Q12.29_8")</f>
        <v>Q12.29_8</v>
      </c>
      <c r="V57" s="68" t="str">
        <f>HYPERLINK("#'Transportation Policy'!BE2","Policy includes other")</f>
        <v>Policy includes other</v>
      </c>
    </row>
    <row r="58" spans="1:22" ht="38.25" x14ac:dyDescent="0.2">
      <c r="A58" s="48" t="str">
        <f>HYPERLINK("#'Private Medical Insurance'!BF1","Q2.42")</f>
        <v>Q2.42</v>
      </c>
      <c r="B58" s="58" t="str">
        <f>HYPERLINK("#'Private Medical Insurance'!BF2","Have an annual maximum for hospital and/or surgical benefits")</f>
        <v>Have an annual maximum for hospital and/or surgical benefits</v>
      </c>
      <c r="C58" s="55" t="str">
        <f>HYPERLINK("#'Dental &amp; Vision'!BF1","Q3.46")</f>
        <v>Q3.46</v>
      </c>
      <c r="D58" s="49" t="str">
        <f>HYPERLINK("#'Dental &amp; Vision'!BF2","Types of coverage included in the vision benefits plan")</f>
        <v>Types of coverage included in the vision benefits plan</v>
      </c>
      <c r="E58" s="67" t="str">
        <f>HYPERLINK("#'Life,Accident,Critical Illness'!BF1","Q4.50")</f>
        <v>Q4.50</v>
      </c>
      <c r="F58" s="68" t="str">
        <f>HYPERLINK("#'Life,Accident,Critical Illness'!BF2","Flat amount of the benefit provided in GBP")</f>
        <v>Flat amount of the benefit provided in GBP</v>
      </c>
      <c r="G58" s="55" t="str">
        <f>HYPERLINK("#'Short &amp; Long Term Disability'!BF1","Q5.51_7_TEXT")</f>
        <v>Q5.51_7_TEXT</v>
      </c>
      <c r="H58" s="49" t="str">
        <f>HYPERLINK("#'Short &amp; Long Term Disability'!BF2","Other types of compensation covered/eligible under the long-term disability or total permanent disability plan")</f>
        <v>Other types of compensation covered/eligible under the long-term disability or total permanent disability plan</v>
      </c>
      <c r="I58" s="67" t="str">
        <f>HYPERLINK("#'Retirement'!BF1","Q6.54")</f>
        <v>Q6.54</v>
      </c>
      <c r="J58" s="68" t="str">
        <f>HYPERLINK("#'Retirement'!BF2","Vesting schedule")</f>
        <v>Vesting schedule</v>
      </c>
      <c r="O58" s="67" t="str">
        <f>HYPERLINK("#'Leaves'!BF1","Q9.58")</f>
        <v>Q9.58</v>
      </c>
      <c r="P58" s="68" t="str">
        <f>HYPERLINK("#'Leaves'!BF2","Number of weeks an employee is entitled to for adoption leave")</f>
        <v>Number of weeks an employee is entitled to for adoption leave</v>
      </c>
      <c r="S58" s="67" t="str">
        <f>HYPERLINK("#'Perks &amp; Allowances'!BF1","Q11.47")</f>
        <v>Q11.47</v>
      </c>
      <c r="T58" s="68" t="str">
        <f>HYPERLINK("#'Perks &amp; Allowances'!BF2","Annual maximum benefit in GBP, if any, for the eldercare program")</f>
        <v>Annual maximum benefit in GBP, if any, for the eldercare program</v>
      </c>
      <c r="U58" s="67" t="str">
        <f>HYPERLINK("#'Transportation Policy'!BF1","Q12.29_8_TEXT")</f>
        <v>Q12.29_8_TEXT</v>
      </c>
      <c r="V58" s="68" t="str">
        <f>HYPERLINK("#'Transportation Policy'!BF2","Other coverage included in policy")</f>
        <v>Other coverage included in policy</v>
      </c>
    </row>
    <row r="59" spans="1:22" ht="25.5" x14ac:dyDescent="0.2">
      <c r="A59" s="48" t="str">
        <f>HYPERLINK("#'Private Medical Insurance'!BG1","Q2.43")</f>
        <v>Q2.43</v>
      </c>
      <c r="B59" s="58" t="str">
        <f>HYPERLINK("#'Private Medical Insurance'!BG2","Annual maximum in GBP for hospital and/or surgical benefits")</f>
        <v>Annual maximum in GBP for hospital and/or surgical benefits</v>
      </c>
      <c r="C59" s="55" t="str">
        <f>HYPERLINK("#'Dental &amp; Vision'!BG1","Q3.46_5_TEXT")</f>
        <v>Q3.46_5_TEXT</v>
      </c>
      <c r="D59" s="49" t="str">
        <f>HYPERLINK("#'Dental &amp; Vision'!BG2","Other types of coverage included in the vision benefits plan")</f>
        <v>Other types of coverage included in the vision benefits plan</v>
      </c>
      <c r="E59" s="67" t="str">
        <f>HYPERLINK("#'Life,Accident,Critical Illness'!BG1","Q4.51")</f>
        <v>Q4.51</v>
      </c>
      <c r="F59" s="68" t="str">
        <f>HYPERLINK("#'Life,Accident,Critical Illness'!BG2","Multiple of earnings upon which the benefit is determined")</f>
        <v>Multiple of earnings upon which the benefit is determined</v>
      </c>
      <c r="G59" s="55" t="str">
        <f>HYPERLINK("#'Short &amp; Long Term Disability'!BG1","Q5.52")</f>
        <v>Q5.52</v>
      </c>
      <c r="H59" s="49" t="str">
        <f>HYPERLINK("#'Short &amp; Long Term Disability'!BG2","Approach to employee participation")</f>
        <v>Approach to employee participation</v>
      </c>
      <c r="I59" s="67" t="str">
        <f>HYPERLINK("#'Retirement'!BG1","Q6.55")</f>
        <v>Q6.55</v>
      </c>
      <c r="J59" s="68" t="str">
        <f>HYPERLINK("#'Retirement'!BG2","Number of years of service required for cliff vesting")</f>
        <v>Number of years of service required for cliff vesting</v>
      </c>
      <c r="O59" s="67" t="str">
        <f>HYPERLINK("#'Leaves'!BG1","Q9.60")</f>
        <v>Q9.60</v>
      </c>
      <c r="P59" s="68" t="str">
        <f>HYPERLINK("#'Leaves'!BG2","Approach to caregiver leave")</f>
        <v>Approach to caregiver leave</v>
      </c>
      <c r="S59" s="67" t="str">
        <f>HYPERLINK("#'Perks &amp; Allowances'!BG1","Q11.48")</f>
        <v>Q11.48</v>
      </c>
      <c r="T59" s="68" t="str">
        <f>HYPERLINK("#'Perks &amp; Allowances'!BG2","Other family friendly benefit offering policy")</f>
        <v>Other family friendly benefit offering policy</v>
      </c>
      <c r="U59" s="67" t="str">
        <f>HYPERLINK("#'Transportation Policy'!BG1","Q12.30_1")</f>
        <v>Q12.30_1</v>
      </c>
      <c r="V59" s="68" t="str">
        <f>HYPERLINK("#'Transportation Policy'!BG2","Level of car offered - Head of industry")</f>
        <v>Level of car offered - Head of industry</v>
      </c>
    </row>
    <row r="60" spans="1:22" ht="38.25" x14ac:dyDescent="0.2">
      <c r="A60" s="48" t="str">
        <f>HYPERLINK("#'Private Medical Insurance'!BH1","Q2.44")</f>
        <v>Q2.44</v>
      </c>
      <c r="B60" s="58" t="str">
        <f>HYPERLINK("#'Private Medical Insurance'!BH2","Type of room accommodation the hospital and/or surgical benefits provide")</f>
        <v>Type of room accommodation the hospital and/or surgical benefits provide</v>
      </c>
      <c r="C60" s="55" t="str">
        <f>HYPERLINK("#'Dental &amp; Vision'!BH1","Q3.47")</f>
        <v>Q3.47</v>
      </c>
      <c r="D60" s="49" t="str">
        <f>HYPERLINK("#'Dental &amp; Vision'!BH2","Number of days of the eligibility waiting period before participation for new employees")</f>
        <v>Number of days of the eligibility waiting period before participation for new employees</v>
      </c>
      <c r="E60" s="67" t="str">
        <f>HYPERLINK("#'Life,Accident,Critical Illness'!BH1","Q4.51_4_TEXT")</f>
        <v>Q4.51_4_TEXT</v>
      </c>
      <c r="F60" s="68" t="str">
        <f>HYPERLINK("#'Life,Accident,Critical Illness'!BH2","Other multiple of earnings upon which the benefit is determined")</f>
        <v>Other multiple of earnings upon which the benefit is determined</v>
      </c>
      <c r="G60" s="55" t="str">
        <f>HYPERLINK("#'Short &amp; Long Term Disability'!BH1","Q5.53")</f>
        <v>Q5.53</v>
      </c>
      <c r="H60" s="49" t="str">
        <f>HYPERLINK("#'Short &amp; Long Term Disability'!BH2","Number of days required before new employees are eligible for long-term disability or total permanent disability benefits")</f>
        <v>Number of days required before new employees are eligible for long-term disability or total permanent disability benefits</v>
      </c>
      <c r="I60" s="67" t="str">
        <f>HYPERLINK("#'Retirement'!BH1","Q6.56")</f>
        <v>Q6.56</v>
      </c>
      <c r="J60" s="68" t="str">
        <f>HYPERLINK("#'Retirement'!BH2","Step vesting schedule")</f>
        <v>Step vesting schedule</v>
      </c>
      <c r="O60" s="67" t="str">
        <f>HYPERLINK("#'Leaves'!BH1","Q9.61")</f>
        <v>Q9.61</v>
      </c>
      <c r="P60" s="68" t="str">
        <f>HYPERLINK("#'Leaves'!BH2","How caregiver leave is paid")</f>
        <v>How caregiver leave is paid</v>
      </c>
      <c r="S60" s="67" t="str">
        <f>HYPERLINK("#'Perks &amp; Allowances'!BH1","Q11.49")</f>
        <v>Q11.49</v>
      </c>
      <c r="T60" s="68" t="str">
        <f>HYPERLINK("#'Perks &amp; Allowances'!BH2","Employees eligible to participate in the other family friendly benefit offering")</f>
        <v>Employees eligible to participate in the other family friendly benefit offering</v>
      </c>
      <c r="U60" s="67" t="str">
        <f>HYPERLINK("#'Transportation Policy'!BH1","Q12.30_2")</f>
        <v>Q12.30_2</v>
      </c>
      <c r="V60" s="68" t="str">
        <f>HYPERLINK("#'Transportation Policy'!BH2","Level of car offered - Head of sales")</f>
        <v>Level of car offered - Head of sales</v>
      </c>
    </row>
    <row r="61" spans="1:22" ht="25.5" x14ac:dyDescent="0.2">
      <c r="A61" s="48" t="str">
        <f>HYPERLINK("#'Private Medical Insurance'!BI1","Q2.44_3_TEXT")</f>
        <v>Q2.44_3_TEXT</v>
      </c>
      <c r="B61" s="58" t="str">
        <f>HYPERLINK("#'Private Medical Insurance'!BI2","Other type of room accommodation the hospital and/or surgical benefits provide")</f>
        <v>Other type of room accommodation the hospital and/or surgical benefits provide</v>
      </c>
      <c r="C61" s="55" t="str">
        <f>HYPERLINK("#'Dental &amp; Vision'!BI1","Q3.48")</f>
        <v>Q3.48</v>
      </c>
      <c r="D61" s="49" t="str">
        <f>HYPERLINK("#'Dental &amp; Vision'!BI2","Payer of the vision benefit for employee coverage")</f>
        <v>Payer of the vision benefit for employee coverage</v>
      </c>
      <c r="E61" s="67" t="str">
        <f>HYPERLINK("#'Life,Accident,Critical Illness'!BI1","Q4.52")</f>
        <v>Q4.52</v>
      </c>
      <c r="F61" s="68" t="str">
        <f>HYPERLINK("#'Life,Accident,Critical Illness'!BI2","Percentage of earnings provided")</f>
        <v>Percentage of earnings provided</v>
      </c>
      <c r="G61" s="55" t="str">
        <f>HYPERLINK("#'Short &amp; Long Term Disability'!BI1","Q5.54")</f>
        <v>Q5.54</v>
      </c>
      <c r="H61" s="49" t="str">
        <f>HYPERLINK("#'Short &amp; Long Term Disability'!BI2","Deferred or waiting period to receive plan benefits (days)")</f>
        <v>Deferred or waiting period to receive plan benefits (days)</v>
      </c>
      <c r="I61" s="67" t="str">
        <f>HYPERLINK("#'Retirement'!BI1","Q6.57")</f>
        <v>Q6.57</v>
      </c>
      <c r="J61" s="68" t="str">
        <f>HYPERLINK("#'Retirement'!BI2","Other vesting schedule")</f>
        <v>Other vesting schedule</v>
      </c>
      <c r="O61" s="67" t="str">
        <f>HYPERLINK("#'Leaves'!BI1","Q9.62")</f>
        <v>Q9.62</v>
      </c>
      <c r="P61" s="68" t="str">
        <f>HYPERLINK("#'Leaves'!BI2","Employees eligible to participate in the caregiver leave plan")</f>
        <v>Employees eligible to participate in the caregiver leave plan</v>
      </c>
      <c r="S61" s="67" t="str">
        <f>HYPERLINK("#'Perks &amp; Allowances'!BI1","Q11.49_8_TEXT")</f>
        <v>Q11.49_8_TEXT</v>
      </c>
      <c r="T61" s="68" t="str">
        <f>HYPERLINK("#'Perks &amp; Allowances'!BI2","Other employees eligible to participate in the other family friendly benefit offering")</f>
        <v>Other employees eligible to participate in the other family friendly benefit offering</v>
      </c>
      <c r="U61" s="67" t="str">
        <f>HYPERLINK("#'Transportation Policy'!BI1","Q12.30_3")</f>
        <v>Q12.30_3</v>
      </c>
      <c r="V61" s="68" t="str">
        <f>HYPERLINK("#'Transportation Policy'!BI2","Level of car offered - Other executives (excluding sales)")</f>
        <v>Level of car offered - Other executives (excluding sales)</v>
      </c>
    </row>
    <row r="62" spans="1:22" ht="38.25" x14ac:dyDescent="0.2">
      <c r="A62" s="48" t="str">
        <f>HYPERLINK("#'Private Medical Insurance'!BJ1","Q2.45")</f>
        <v>Q2.45</v>
      </c>
      <c r="B62" s="58" t="str">
        <f>HYPERLINK("#'Private Medical Insurance'!BJ2","Provide room and board for hospital/surgical benefits")</f>
        <v>Provide room and board for hospital/surgical benefits</v>
      </c>
      <c r="C62" s="55" t="str">
        <f>HYPERLINK("#'Dental &amp; Vision'!BJ1","Q3.49")</f>
        <v>Q3.49</v>
      </c>
      <c r="D62" s="49" t="str">
        <f>HYPERLINK("#'Dental &amp; Vision'!BJ2","Method of employee cost sharing")</f>
        <v>Method of employee cost sharing</v>
      </c>
      <c r="E62" s="67" t="str">
        <f>HYPERLINK("#'Life,Accident,Critical Illness'!BJ1","Q4.53")</f>
        <v>Q4.53</v>
      </c>
      <c r="F62" s="68" t="str">
        <f>HYPERLINK("#'Life,Accident,Critical Illness'!BJ2","Description of the other formula used to determine the amount of the benefit")</f>
        <v>Description of the other formula used to determine the amount of the benefit</v>
      </c>
      <c r="G62" s="55" t="str">
        <f>HYPERLINK("#'Short &amp; Long Term Disability'!BJ1","Q5.55")</f>
        <v>Q5.55</v>
      </c>
      <c r="H62" s="49" t="str">
        <f>HYPERLINK("#'Short &amp; Long Term Disability'!BJ2","Benefit formula used for the plan")</f>
        <v>Benefit formula used for the plan</v>
      </c>
      <c r="I62" s="67" t="str">
        <f>HYPERLINK("#'Retirement'!BJ1","Q6.58")</f>
        <v>Q6.58</v>
      </c>
      <c r="J62" s="68" t="str">
        <f>HYPERLINK("#'Retirement'!BJ2","Provision provided for payment of an early retirement pension")</f>
        <v>Provision provided for payment of an early retirement pension</v>
      </c>
      <c r="O62" s="67" t="str">
        <f>HYPERLINK("#'Leaves'!BJ1","Q9.62_8_TEXT")</f>
        <v>Q9.62_8_TEXT</v>
      </c>
      <c r="P62" s="68" t="str">
        <f>HYPERLINK("#'Leaves'!BJ2","Other employees eligible to participate in the caregiver leave plan")</f>
        <v>Other employees eligible to participate in the caregiver leave plan</v>
      </c>
      <c r="S62" s="67" t="str">
        <f>HYPERLINK("#'Perks &amp; Allowances'!BJ1","Q11.50")</f>
        <v>Q11.50</v>
      </c>
      <c r="T62" s="68" t="str">
        <f>HYPERLINK("#'Perks &amp; Allowances'!BJ2","Number of days required before new employees are eligible for the other family friendly benefit offering")</f>
        <v>Number of days required before new employees are eligible for the other family friendly benefit offering</v>
      </c>
      <c r="U62" s="67" t="str">
        <f>HYPERLINK("#'Transportation Policy'!BJ1","Q12.30_4")</f>
        <v>Q12.30_4</v>
      </c>
      <c r="V62" s="68" t="str">
        <f>HYPERLINK("#'Transportation Policy'!BJ2","Level of car offered - Sales executives")</f>
        <v>Level of car offered - Sales executives</v>
      </c>
    </row>
    <row r="63" spans="1:22" ht="25.5" x14ac:dyDescent="0.2">
      <c r="A63" s="48" t="str">
        <f>HYPERLINK("#'Private Medical Insurance'!BK1","Q2.46")</f>
        <v>Q2.46</v>
      </c>
      <c r="B63" s="58" t="str">
        <f>HYPERLINK("#'Private Medical Insurance'!BK2","Amount of room and board rate for hospital and/or surgical benefits in GBP")</f>
        <v>Amount of room and board rate for hospital and/or surgical benefits in GBP</v>
      </c>
      <c r="C63" s="55" t="str">
        <f>HYPERLINK("#'Dental &amp; Vision'!BK1","Q3.50")</f>
        <v>Q3.50</v>
      </c>
      <c r="D63" s="49" t="str">
        <f>HYPERLINK("#'Dental &amp; Vision'!BK2","Flat amount the employee is required to pay in GBP")</f>
        <v>Flat amount the employee is required to pay in GBP</v>
      </c>
      <c r="E63" s="67" t="str">
        <f>HYPERLINK("#'Life,Accident,Critical Illness'!BK1","Q4.54")</f>
        <v>Q4.54</v>
      </c>
      <c r="F63" s="68" t="str">
        <f>HYPERLINK("#'Life,Accident,Critical Illness'!BK2","Maximum supplemental accident benefit amount in GBP")</f>
        <v>Maximum supplemental accident benefit amount in GBP</v>
      </c>
      <c r="G63" s="55" t="str">
        <f>HYPERLINK("#'Short &amp; Long Term Disability'!BK1","Q5.56")</f>
        <v>Q5.56</v>
      </c>
      <c r="H63" s="49" t="str">
        <f>HYPERLINK("#'Short &amp; Long Term Disability'!BK2","Flat amount is the same for all employees")</f>
        <v>Flat amount is the same for all employees</v>
      </c>
      <c r="I63" s="67" t="str">
        <f>HYPERLINK("#'Retirement'!BK1","Q6.59")</f>
        <v>Q6.59</v>
      </c>
      <c r="J63" s="68" t="str">
        <f>HYPERLINK("#'Retirement'!BK2","Type of compensation used in the benefit formula")</f>
        <v>Type of compensation used in the benefit formula</v>
      </c>
      <c r="O63" s="67" t="str">
        <f>HYPERLINK("#'Leaves'!BK1","Q9.63")</f>
        <v>Q9.63</v>
      </c>
      <c r="P63" s="68" t="str">
        <f>HYPERLINK("#'Leaves'!BK2","Relationships that qualify for caregiver leave")</f>
        <v>Relationships that qualify for caregiver leave</v>
      </c>
      <c r="S63" s="67" t="str">
        <f>HYPERLINK("#'Perks &amp; Allowances'!BK1","Q11.51")</f>
        <v>Q11.51</v>
      </c>
      <c r="T63" s="68" t="str">
        <f>HYPERLINK("#'Perks &amp; Allowances'!BK2","Annual maximum benefit in GBP, if any, for the other family friendly benefit offering")</f>
        <v>Annual maximum benefit in GBP, if any, for the other family friendly benefit offering</v>
      </c>
      <c r="U63" s="67" t="str">
        <f>HYPERLINK("#'Transportation Policy'!BK1","Q12.30_5")</f>
        <v>Q12.30_5</v>
      </c>
      <c r="V63" s="68" t="str">
        <f>HYPERLINK("#'Transportation Policy'!BK2","Level of car offered - Other staff (excluding sales)")</f>
        <v>Level of car offered - Other staff (excluding sales)</v>
      </c>
    </row>
    <row r="64" spans="1:22" ht="25.5" x14ac:dyDescent="0.2">
      <c r="A64" s="48" t="str">
        <f>HYPERLINK("#'Private Medical Insurance'!BL1","Q2.47")</f>
        <v>Q2.47</v>
      </c>
      <c r="B64" s="58" t="str">
        <f>HYPERLINK("#'Private Medical Insurance'!BL2","Reimbursement level in GBP for hospital and/or surgical benefits")</f>
        <v>Reimbursement level in GBP for hospital and/or surgical benefits</v>
      </c>
      <c r="C64" s="56" t="str">
        <f>HYPERLINK("#'Dental &amp; Vision'!BL1","Q3.51")</f>
        <v>Q3.51</v>
      </c>
      <c r="D64" s="50" t="str">
        <f>HYPERLINK("#'Dental &amp; Vision'!BL2","Percentage the employee is required to pay")</f>
        <v>Percentage the employee is required to pay</v>
      </c>
      <c r="E64" s="67" t="str">
        <f>HYPERLINK("#'Life,Accident,Critical Illness'!BL1","Q4.55")</f>
        <v>Q4.55</v>
      </c>
      <c r="F64" s="68" t="str">
        <f>HYPERLINK("#'Life,Accident,Critical Illness'!BL2","Payer of the premium")</f>
        <v>Payer of the premium</v>
      </c>
      <c r="G64" s="55" t="str">
        <f>HYPERLINK("#'Short &amp; Long Term Disability'!BL1","Q5.57")</f>
        <v>Q5.57</v>
      </c>
      <c r="H64" s="49" t="str">
        <f>HYPERLINK("#'Short &amp; Long Term Disability'!BL2","Flat amount of the benefit provided in GBP")</f>
        <v>Flat amount of the benefit provided in GBP</v>
      </c>
      <c r="I64" s="67" t="str">
        <f>HYPERLINK("#'Retirement'!BL1","Q6.59_5_TEXT")</f>
        <v>Q6.59_5_TEXT</v>
      </c>
      <c r="J64" s="68" t="str">
        <f>HYPERLINK("#'Retirement'!BL2","Other type of compensation used in the benefit formula")</f>
        <v>Other type of compensation used in the benefit formula</v>
      </c>
      <c r="O64" s="67" t="str">
        <f>HYPERLINK("#'Leaves'!BL1","Q9.63_17_TEXT")</f>
        <v>Q9.63_17_TEXT</v>
      </c>
      <c r="P64" s="68" t="str">
        <f>HYPERLINK("#'Leaves'!BL2","Other relationships that qualify for caregiver leave")</f>
        <v>Other relationships that qualify for caregiver leave</v>
      </c>
      <c r="S64" s="67" t="str">
        <f>HYPERLINK("#'Perks &amp; Allowances'!BL1","Q11.52")</f>
        <v>Q11.52</v>
      </c>
      <c r="T64" s="68" t="str">
        <f>HYPERLINK("#'Perks &amp; Allowances'!BL2","Clothing policy")</f>
        <v>Clothing policy</v>
      </c>
      <c r="U64" s="67" t="str">
        <f>HYPERLINK("#'Transportation Policy'!BL1","Q12.30_6")</f>
        <v>Q12.30_6</v>
      </c>
      <c r="V64" s="68" t="str">
        <f>HYPERLINK("#'Transportation Policy'!BL2","Level of car offered - Other sales staff")</f>
        <v>Level of car offered - Other sales staff</v>
      </c>
    </row>
    <row r="65" spans="1:22" ht="25.5" x14ac:dyDescent="0.2">
      <c r="A65" s="48" t="str">
        <f>HYPERLINK("#'Private Medical Insurance'!BM1","Q2.48")</f>
        <v>Q2.48</v>
      </c>
      <c r="B65" s="58" t="str">
        <f>HYPERLINK("#'Private Medical Insurance'!BM2","Hospital and/or surgical benefits provide a daily hospital cash allowance")</f>
        <v>Hospital and/or surgical benefits provide a daily hospital cash allowance</v>
      </c>
      <c r="C65" s="55" t="str">
        <f>HYPERLINK("#'Dental &amp; Vision'!BM1","Q3.52")</f>
        <v>Q3.52</v>
      </c>
      <c r="D65" s="49" t="str">
        <f>HYPERLINK("#'Dental &amp; Vision'!BM2","Flat amount of the company contribution in GBP")</f>
        <v>Flat amount of the company contribution in GBP</v>
      </c>
      <c r="E65" s="67" t="str">
        <f>HYPERLINK("#'Life,Accident,Critical Illness'!BM1","Q4.56")</f>
        <v>Q4.56</v>
      </c>
      <c r="F65" s="68" t="str">
        <f>HYPERLINK("#'Life,Accident,Critical Illness'!BM2","Method of employee cost sharing")</f>
        <v>Method of employee cost sharing</v>
      </c>
      <c r="G65" s="55" t="str">
        <f>HYPERLINK("#'Short &amp; Long Term Disability'!BM1","Q5.58")</f>
        <v>Q5.58</v>
      </c>
      <c r="H65" s="49" t="str">
        <f>HYPERLINK("#'Short &amp; Long Term Disability'!BM2","Multiple of earnings upon which the benefit is based")</f>
        <v>Multiple of earnings upon which the benefit is based</v>
      </c>
      <c r="I65" s="67" t="str">
        <f>HYPERLINK("#'Retirement'!BM1","Q6.60")</f>
        <v>Q6.60</v>
      </c>
      <c r="J65" s="68" t="str">
        <f>HYPERLINK("#'Retirement'!BM2","Percentage used to compute the benefit")</f>
        <v>Percentage used to compute the benefit</v>
      </c>
      <c r="O65" s="67" t="str">
        <f>HYPERLINK("#'Leaves'!BM1","Q9.64")</f>
        <v>Q9.64</v>
      </c>
      <c r="P65" s="68" t="str">
        <f>HYPERLINK("#'Leaves'!BM2","Number of days required before new employees are eligible for caregiver leave")</f>
        <v>Number of days required before new employees are eligible for caregiver leave</v>
      </c>
      <c r="S65" s="67" t="str">
        <f>HYPERLINK("#'Perks &amp; Allowances'!BM1","Q11.53")</f>
        <v>Q11.53</v>
      </c>
      <c r="T65" s="68" t="str">
        <f>HYPERLINK("#'Perks &amp; Allowances'!BM2","Employees eligible to participate in the clothing program")</f>
        <v>Employees eligible to participate in the clothing program</v>
      </c>
      <c r="U65" s="67" t="str">
        <f>HYPERLINK("#'Transportation Policy'!BM1","Q12.31")</f>
        <v>Q12.31</v>
      </c>
      <c r="V65" s="68" t="str">
        <f>HYPERLINK("#'Transportation Policy'!BM2","Other levels of cars")</f>
        <v>Other levels of cars</v>
      </c>
    </row>
    <row r="66" spans="1:22" ht="25.5" x14ac:dyDescent="0.2">
      <c r="A66" s="48" t="str">
        <f>HYPERLINK("#'Private Medical Insurance'!BN1","Q2.49")</f>
        <v>Q2.49</v>
      </c>
      <c r="B66" s="58" t="str">
        <f>HYPERLINK("#'Private Medical Insurance'!BN2","Amount of daily hospital cash allowance in GBP")</f>
        <v>Amount of daily hospital cash allowance in GBP</v>
      </c>
      <c r="C66" s="55" t="str">
        <f>HYPERLINK("#'Dental &amp; Vision'!BN1","Q3.53")</f>
        <v>Q3.53</v>
      </c>
      <c r="D66" s="49" t="str">
        <f>HYPERLINK("#'Dental &amp; Vision'!BN2","Other method of determining employee cost sharing")</f>
        <v>Other method of determining employee cost sharing</v>
      </c>
      <c r="E66" s="67" t="str">
        <f>HYPERLINK("#'Life,Accident,Critical Illness'!BN1","Q4.57")</f>
        <v>Q4.57</v>
      </c>
      <c r="F66" s="68" t="str">
        <f>HYPERLINK("#'Life,Accident,Critical Illness'!BN2","Flat amount the employee is required to pay in GBP")</f>
        <v>Flat amount the employee is required to pay in GBP</v>
      </c>
      <c r="G66" s="55" t="str">
        <f>HYPERLINK("#'Short &amp; Long Term Disability'!BN1","Q5.59")</f>
        <v>Q5.59</v>
      </c>
      <c r="H66" s="49" t="str">
        <f>HYPERLINK("#'Short &amp; Long Term Disability'!BN2","Approach to the multiple of earnings")</f>
        <v>Approach to the multiple of earnings</v>
      </c>
      <c r="I66" s="67" t="str">
        <f>HYPERLINK("#'Retirement'!BN1","Q6.61")</f>
        <v>Q6.61</v>
      </c>
      <c r="J66" s="68" t="str">
        <f>HYPERLINK("#'Retirement'!BN2","Number of years of earnings upon which the benefit is based")</f>
        <v>Number of years of earnings upon which the benefit is based</v>
      </c>
      <c r="O66" s="67" t="str">
        <f>HYPERLINK("#'Leaves'!BN1","Q9.65")</f>
        <v>Q9.65</v>
      </c>
      <c r="P66" s="68" t="str">
        <f>HYPERLINK("#'Leaves'!BN2","Number of weeks an employee is entitled to for caregiver leave")</f>
        <v>Number of weeks an employee is entitled to for caregiver leave</v>
      </c>
      <c r="S66" s="67" t="str">
        <f>HYPERLINK("#'Perks &amp; Allowances'!BN1","Q11.53_8_TEXT")</f>
        <v>Q11.53_8_TEXT</v>
      </c>
      <c r="T66" s="68" t="str">
        <f>HYPERLINK("#'Perks &amp; Allowances'!BN2","Other employees eligible to participate in the clothing program")</f>
        <v>Other employees eligible to participate in the clothing program</v>
      </c>
      <c r="U66" s="67" t="str">
        <f>HYPERLINK("#'Transportation Policy'!BN1","Q12.33")</f>
        <v>Q12.33</v>
      </c>
      <c r="V66" s="68" t="str">
        <f>HYPERLINK("#'Transportation Policy'!BN2","Employees choose which vehicle they receive")</f>
        <v>Employees choose which vehicle they receive</v>
      </c>
    </row>
    <row r="67" spans="1:22" ht="25.5" x14ac:dyDescent="0.2">
      <c r="A67" s="48" t="str">
        <f>HYPERLINK("#'Private Medical Insurance'!BO1","Q2.50")</f>
        <v>Q2.50</v>
      </c>
      <c r="B67" s="58" t="str">
        <f>HYPERLINK("#'Private Medical Insurance'!BO2","Have a deductible for hospital and/or surgical benefits")</f>
        <v>Have a deductible for hospital and/or surgical benefits</v>
      </c>
      <c r="C67" s="55" t="str">
        <f>HYPERLINK("#'Dental &amp; Vision'!BO1","Q3.54_1")</f>
        <v>Q3.54_1</v>
      </c>
      <c r="D67" s="49" t="str">
        <f>HYPERLINK("#'Dental &amp; Vision'!BO2","Payer of the vision benefit for dependent coverage - Spouse")</f>
        <v>Payer of the vision benefit for dependent coverage - Spouse</v>
      </c>
      <c r="E67" s="67" t="str">
        <f>HYPERLINK("#'Life,Accident,Critical Illness'!BO1","Q4.58")</f>
        <v>Q4.58</v>
      </c>
      <c r="F67" s="68" t="str">
        <f>HYPERLINK("#'Life,Accident,Critical Illness'!BO2","Flat amount of the company contribution in GBP")</f>
        <v>Flat amount of the company contribution in GBP</v>
      </c>
      <c r="G67" s="55" t="str">
        <f>HYPERLINK("#'Short &amp; Long Term Disability'!BO1","Q5.59_3_TEXT")</f>
        <v>Q5.59_3_TEXT</v>
      </c>
      <c r="H67" s="49" t="str">
        <f>HYPERLINK("#'Short &amp; Long Term Disability'!BO2","Other approach to the multiple of earnings")</f>
        <v>Other approach to the multiple of earnings</v>
      </c>
      <c r="I67" s="67" t="str">
        <f>HYPERLINK("#'Retirement'!BO1","Q6.62")</f>
        <v>Q6.62</v>
      </c>
      <c r="J67" s="68" t="str">
        <f>HYPERLINK("#'Retirement'!BO2","Method for defining career average")</f>
        <v>Method for defining career average</v>
      </c>
      <c r="O67" s="67" t="str">
        <f>HYPERLINK("#'Leaves'!BO1","Q9.66")</f>
        <v>Q9.66</v>
      </c>
      <c r="P67" s="68" t="str">
        <f>HYPERLINK("#'Leaves'!BO2","Caregiver leave requires proof (e.g., doctor's note)")</f>
        <v>Caregiver leave requires proof (e.g., doctor's note)</v>
      </c>
      <c r="S67" s="67" t="str">
        <f>HYPERLINK("#'Perks &amp; Allowances'!BO1","Q11.54")</f>
        <v>Q11.54</v>
      </c>
      <c r="T67" s="68" t="str">
        <f>HYPERLINK("#'Perks &amp; Allowances'!BO2","Number of days required before new employees are eligible for the clothing program")</f>
        <v>Number of days required before new employees are eligible for the clothing program</v>
      </c>
      <c r="U67" s="67" t="str">
        <f>HYPERLINK("#'Transportation Policy'!BO1","Q12.34")</f>
        <v>Q12.34</v>
      </c>
      <c r="V67" s="68" t="str">
        <f>HYPERLINK("#'Transportation Policy'!BO2","Replacement policy for company-owned vehicles")</f>
        <v>Replacement policy for company-owned vehicles</v>
      </c>
    </row>
    <row r="68" spans="1:22" ht="25.5" x14ac:dyDescent="0.2">
      <c r="A68" s="48" t="str">
        <f>HYPERLINK("#'Private Medical Insurance'!BP1","Q2.51")</f>
        <v>Q2.51</v>
      </c>
      <c r="B68" s="58" t="str">
        <f>HYPERLINK("#'Private Medical Insurance'!BP2","Individual deductible in GBP for hospital and/or surgical benefits")</f>
        <v>Individual deductible in GBP for hospital and/or surgical benefits</v>
      </c>
      <c r="C68" s="55" t="str">
        <f>HYPERLINK("#'Dental &amp; Vision'!BP1","Q3.54_2")</f>
        <v>Q3.54_2</v>
      </c>
      <c r="D68" s="49" t="str">
        <f>HYPERLINK("#'Dental &amp; Vision'!BP2","Payer of the vision benefit for dependent coverage - Domestic partner")</f>
        <v>Payer of the vision benefit for dependent coverage - Domestic partner</v>
      </c>
      <c r="E68" s="67" t="str">
        <f>HYPERLINK("#'Life,Accident,Critical Illness'!BP1","Q4.59")</f>
        <v>Q4.59</v>
      </c>
      <c r="F68" s="68" t="str">
        <f>HYPERLINK("#'Life,Accident,Critical Illness'!BP2","Percentage the employee is required to pay")</f>
        <v>Percentage the employee is required to pay</v>
      </c>
      <c r="G68" s="55" t="str">
        <f>HYPERLINK("#'Short &amp; Long Term Disability'!BP1","Q5.60")</f>
        <v>Q5.60</v>
      </c>
      <c r="H68" s="49" t="str">
        <f>HYPERLINK("#'Short &amp; Long Term Disability'!BP2","Percentage of earnings provided")</f>
        <v>Percentage of earnings provided</v>
      </c>
      <c r="I68" s="67" t="str">
        <f>HYPERLINK("#'Retirement'!BP1","Q6.63")</f>
        <v>Q6.63</v>
      </c>
      <c r="J68" s="68" t="str">
        <f>HYPERLINK("#'Retirement'!BP2","Flat benefit formula")</f>
        <v>Flat benefit formula</v>
      </c>
      <c r="O68" s="67" t="str">
        <f>HYPERLINK("#'Leaves'!BP1","Q9.67")</f>
        <v>Q9.67</v>
      </c>
      <c r="P68" s="68" t="str">
        <f>HYPERLINK("#'Leaves'!BP2","Limit the number of occasions for which employees can request caregiver leave")</f>
        <v>Limit the number of occasions for which employees can request caregiver leave</v>
      </c>
      <c r="S68" s="67" t="str">
        <f>HYPERLINK("#'Perks &amp; Allowances'!BP1","Q11.55")</f>
        <v>Q11.55</v>
      </c>
      <c r="T68" s="68" t="str">
        <f>HYPERLINK("#'Perks &amp; Allowances'!BP2","Annual maximum benefit in GBP, if any, for the clothing program")</f>
        <v>Annual maximum benefit in GBP, if any, for the clothing program</v>
      </c>
      <c r="U68" s="67" t="str">
        <f>HYPERLINK("#'Transportation Policy'!BP1","Q12.35")</f>
        <v>Q12.35</v>
      </c>
      <c r="V68" s="68" t="str">
        <f>HYPERLINK("#'Transportation Policy'!BP2","Frequency at which eligible employees receive a new company-owned vehicle")</f>
        <v>Frequency at which eligible employees receive a new company-owned vehicle</v>
      </c>
    </row>
    <row r="69" spans="1:22" ht="38.25" x14ac:dyDescent="0.2">
      <c r="A69" s="48" t="str">
        <f>HYPERLINK("#'Private Medical Insurance'!BQ1","Q2.52")</f>
        <v>Q2.52</v>
      </c>
      <c r="B69" s="58" t="str">
        <f>HYPERLINK("#'Private Medical Insurance'!BQ2","Family deductible in GBP for hospital and/or surgical benefits")</f>
        <v>Family deductible in GBP for hospital and/or surgical benefits</v>
      </c>
      <c r="C69" s="55" t="str">
        <f>HYPERLINK("#'Dental &amp; Vision'!BQ1","Q3.54_3")</f>
        <v>Q3.54_3</v>
      </c>
      <c r="D69" s="49" t="str">
        <f>HYPERLINK("#'Dental &amp; Vision'!BQ2","Payer of the vision benefit for dependent coverage - Child (only one)")</f>
        <v>Payer of the vision benefit for dependent coverage - Child (only one)</v>
      </c>
      <c r="E69" s="67" t="str">
        <f>HYPERLINK("#'Life,Accident,Critical Illness'!BQ1","Q4.60")</f>
        <v>Q4.60</v>
      </c>
      <c r="F69" s="68" t="str">
        <f>HYPERLINK("#'Life,Accident,Critical Illness'!BQ2","Other method of determining employee cost sharing")</f>
        <v>Other method of determining employee cost sharing</v>
      </c>
      <c r="G69" s="55" t="str">
        <f>HYPERLINK("#'Short &amp; Long Term Disability'!BQ1","Q5.61")</f>
        <v>Q5.61</v>
      </c>
      <c r="H69" s="49" t="str">
        <f>HYPERLINK("#'Short &amp; Long Term Disability'!BQ2","Other benefit formula used for the plan")</f>
        <v>Other benefit formula used for the plan</v>
      </c>
      <c r="I69" s="67" t="str">
        <f>HYPERLINK("#'Retirement'!BQ1","Q6.64")</f>
        <v>Q6.64</v>
      </c>
      <c r="J69" s="68" t="str">
        <f>HYPERLINK("#'Retirement'!BQ2","Age at which employees are eligible for an early retirement pension")</f>
        <v>Age at which employees are eligible for an early retirement pension</v>
      </c>
      <c r="O69" s="67" t="str">
        <f>HYPERLINK("#'Leaves'!BQ1","Q9.68")</f>
        <v>Q9.68</v>
      </c>
      <c r="P69" s="68" t="str">
        <f>HYPERLINK("#'Leaves'!BQ2","Caregiver leave policy's limits")</f>
        <v>Caregiver leave policy's limits</v>
      </c>
      <c r="S69" s="67" t="str">
        <f>HYPERLINK("#'Perks &amp; Allowances'!BQ1","Q11.56")</f>
        <v>Q11.56</v>
      </c>
      <c r="T69" s="68" t="str">
        <f>HYPERLINK("#'Perks &amp; Allowances'!BQ2","Tuition assistance policy")</f>
        <v>Tuition assistance policy</v>
      </c>
      <c r="U69" s="67" t="str">
        <f>HYPERLINK("#'Transportation Policy'!BQ1","Q12.36")</f>
        <v>Q12.36</v>
      </c>
      <c r="V69" s="68" t="str">
        <f>HYPERLINK("#'Transportation Policy'!BQ2","Kilometer threshold at which eligible employees receive a new company-owned vehicle")</f>
        <v>Kilometer threshold at which eligible employees receive a new company-owned vehicle</v>
      </c>
    </row>
    <row r="70" spans="1:22" ht="38.25" x14ac:dyDescent="0.2">
      <c r="A70" s="48" t="str">
        <f>HYPERLINK("#'Private Medical Insurance'!BR1","Q2.53")</f>
        <v>Q2.53</v>
      </c>
      <c r="B70" s="58" t="str">
        <f>HYPERLINK("#'Private Medical Insurance'!BR2","Policy covers outpatient benefits")</f>
        <v>Policy covers outpatient benefits</v>
      </c>
      <c r="C70" s="55" t="str">
        <f>HYPERLINK("#'Dental &amp; Vision'!BR1","Q3.54_4")</f>
        <v>Q3.54_4</v>
      </c>
      <c r="D70" s="49" t="str">
        <f>HYPERLINK("#'Dental &amp; Vision'!BR2","Payer of the vision benefit for dependent coverage - Children (no limit)")</f>
        <v>Payer of the vision benefit for dependent coverage - Children (no limit)</v>
      </c>
      <c r="E70" s="67" t="str">
        <f>HYPERLINK("#'Life,Accident,Critical Illness'!BR1","Q4.61")</f>
        <v>Q4.61</v>
      </c>
      <c r="F70" s="68" t="str">
        <f>HYPERLINK("#'Life,Accident,Critical Illness'!BR2","Have an accident plan for which only executives are eligible to participate")</f>
        <v>Have an accident plan for which only executives are eligible to participate</v>
      </c>
      <c r="G70" s="55" t="str">
        <f>HYPERLINK("#'Short &amp; Long Term Disability'!BR1","Q5.62")</f>
        <v>Q5.62</v>
      </c>
      <c r="H70" s="49" t="str">
        <f>HYPERLINK("#'Short &amp; Long Term Disability'!BR2","Maximum benefit per employee in GBP")</f>
        <v>Maximum benefit per employee in GBP</v>
      </c>
      <c r="I70" s="67" t="str">
        <f>HYPERLINK("#'Retirement'!BR1","Q6.65")</f>
        <v>Q6.65</v>
      </c>
      <c r="J70" s="68" t="str">
        <f>HYPERLINK("#'Retirement'!BR2","Number of years of service required for employees to receive an early retirement pension")</f>
        <v>Number of years of service required for employees to receive an early retirement pension</v>
      </c>
      <c r="O70" s="67" t="str">
        <f>HYPERLINK("#'Leaves'!BR1","Q9.70")</f>
        <v>Q9.70</v>
      </c>
      <c r="P70" s="68" t="str">
        <f>HYPERLINK("#'Leaves'!BR2","Approach to sick leave")</f>
        <v>Approach to sick leave</v>
      </c>
      <c r="S70" s="67" t="str">
        <f>HYPERLINK("#'Perks &amp; Allowances'!BR1","Q11.57")</f>
        <v>Q11.57</v>
      </c>
      <c r="T70" s="68" t="str">
        <f>HYPERLINK("#'Perks &amp; Allowances'!BR2","Employees eligible to participate in the tuition assistance program")</f>
        <v>Employees eligible to participate in the tuition assistance program</v>
      </c>
      <c r="U70" s="67" t="str">
        <f>HYPERLINK("#'Transportation Policy'!BR1","Q12.38_1")</f>
        <v>Q12.38_1</v>
      </c>
      <c r="V70" s="68" t="str">
        <f>HYPERLINK("#'Transportation Policy'!BR2","Duration of a typical lease - Head of industry")</f>
        <v>Duration of a typical lease - Head of industry</v>
      </c>
    </row>
    <row r="71" spans="1:22" ht="25.5" x14ac:dyDescent="0.2">
      <c r="A71" s="48" t="str">
        <f>HYPERLINK("#'Private Medical Insurance'!BS1","Q2.54")</f>
        <v>Q2.54</v>
      </c>
      <c r="B71" s="58" t="str">
        <f>HYPERLINK("#'Private Medical Insurance'!BS2","Annual maximum in GBP for outpatient benefits")</f>
        <v>Annual maximum in GBP for outpatient benefits</v>
      </c>
      <c r="C71" s="55" t="str">
        <f>HYPERLINK("#'Dental &amp; Vision'!BS1","Q3.54_5")</f>
        <v>Q3.54_5</v>
      </c>
      <c r="D71" s="49" t="str">
        <f>HYPERLINK("#'Dental &amp; Vision'!BS2","Payer of the vision benefit for dependent coverage - Parents")</f>
        <v>Payer of the vision benefit for dependent coverage - Parents</v>
      </c>
      <c r="E71" s="67" t="str">
        <f>HYPERLINK("#'Life,Accident,Critical Illness'!BS1","Q4.62")</f>
        <v>Q4.62</v>
      </c>
      <c r="F71" s="68" t="str">
        <f>HYPERLINK("#'Life,Accident,Critical Illness'!BS2","Description of the accident plan for which only executives are eligible to participate")</f>
        <v>Description of the accident plan for which only executives are eligible to participate</v>
      </c>
      <c r="G71" s="55" t="str">
        <f>HYPERLINK("#'Short &amp; Long Term Disability'!BS1","Q5.63")</f>
        <v>Q5.63</v>
      </c>
      <c r="H71" s="49" t="str">
        <f>HYPERLINK("#'Short &amp; Long Term Disability'!BS2","Maximum duration of the benefit")</f>
        <v>Maximum duration of the benefit</v>
      </c>
      <c r="I71" s="67" t="str">
        <f>HYPERLINK("#'Retirement'!BS1","Q6.66")</f>
        <v>Q6.66</v>
      </c>
      <c r="J71" s="68" t="str">
        <f>HYPERLINK("#'Retirement'!BS2","Company's normal retirement age is in line with statutory requirements")</f>
        <v>Company's normal retirement age is in line with statutory requirements</v>
      </c>
      <c r="O71" s="67" t="str">
        <f>HYPERLINK("#'Leaves'!BS1","Q9.71")</f>
        <v>Q9.71</v>
      </c>
      <c r="P71" s="68" t="str">
        <f>HYPERLINK("#'Leaves'!BS2","How sick leave is paid")</f>
        <v>How sick leave is paid</v>
      </c>
      <c r="S71" s="67" t="str">
        <f>HYPERLINK("#'Perks &amp; Allowances'!BS1","Q11.57_8_TEXT")</f>
        <v>Q11.57_8_TEXT</v>
      </c>
      <c r="T71" s="68" t="str">
        <f>HYPERLINK("#'Perks &amp; Allowances'!BS2","Other employees eligible to participate in the tuition assistance program")</f>
        <v>Other employees eligible to participate in the tuition assistance program</v>
      </c>
      <c r="U71" s="67" t="str">
        <f>HYPERLINK("#'Transportation Policy'!BS1","Q12.38_2")</f>
        <v>Q12.38_2</v>
      </c>
      <c r="V71" s="68" t="str">
        <f>HYPERLINK("#'Transportation Policy'!BS2","Duration of a typical lease - Head of sales")</f>
        <v>Duration of a typical lease - Head of sales</v>
      </c>
    </row>
    <row r="72" spans="1:22" ht="38.25" x14ac:dyDescent="0.2">
      <c r="A72" s="48" t="str">
        <f>HYPERLINK("#'Private Medical Insurance'!BT1","Q2.55")</f>
        <v>Q2.55</v>
      </c>
      <c r="B72" s="58" t="str">
        <f>HYPERLINK("#'Private Medical Insurance'!BT2","Have a deductible for outpatient benefits")</f>
        <v>Have a deductible for outpatient benefits</v>
      </c>
      <c r="C72" s="55" t="str">
        <f>HYPERLINK("#'Dental &amp; Vision'!BT1","Q3.54_6")</f>
        <v>Q3.54_6</v>
      </c>
      <c r="D72" s="49" t="str">
        <f>HYPERLINK("#'Dental &amp; Vision'!BT2","Payer of the vision benefit for dependent coverage - Parents-in-law")</f>
        <v>Payer of the vision benefit for dependent coverage - Parents-in-law</v>
      </c>
      <c r="E72" s="67" t="str">
        <f>HYPERLINK("#'Life,Accident,Critical Illness'!BT1","Q4.63")</f>
        <v>Q4.63</v>
      </c>
      <c r="F72" s="68" t="str">
        <f>HYPERLINK("#'Life,Accident,Critical Illness'!BT2","Vendor for the most prevalent accident plan")</f>
        <v>Vendor for the most prevalent accident plan</v>
      </c>
      <c r="G72" s="55" t="str">
        <f>HYPERLINK("#'Short &amp; Long Term Disability'!BT1","Q5.63_5_TEXT")</f>
        <v>Q5.63_5_TEXT</v>
      </c>
      <c r="H72" s="49" t="str">
        <f>HYPERLINK("#'Short &amp; Long Term Disability'!BT2","Other maximum duration of the benefit")</f>
        <v>Other maximum duration of the benefit</v>
      </c>
      <c r="I72" s="67" t="str">
        <f>HYPERLINK("#'Retirement'!BT1","Q6.67")</f>
        <v>Q6.67</v>
      </c>
      <c r="J72" s="68" t="str">
        <f>HYPERLINK("#'Retirement'!BT2","Normal retirement age for employees")</f>
        <v>Normal retirement age for employees</v>
      </c>
      <c r="O72" s="67" t="str">
        <f>HYPERLINK("#'Leaves'!BT1","Q9.72")</f>
        <v>Q9.72</v>
      </c>
      <c r="P72" s="68" t="str">
        <f>HYPERLINK("#'Leaves'!BT2","Employees eligible to participate in the sick leave plan")</f>
        <v>Employees eligible to participate in the sick leave plan</v>
      </c>
      <c r="S72" s="67" t="str">
        <f>HYPERLINK("#'Perks &amp; Allowances'!BT1","Q11.58")</f>
        <v>Q11.58</v>
      </c>
      <c r="T72" s="68" t="str">
        <f>HYPERLINK("#'Perks &amp; Allowances'!BT2","Number of days required before new employees are eligible for the tuition assistance program")</f>
        <v>Number of days required before new employees are eligible for the tuition assistance program</v>
      </c>
      <c r="U72" s="67" t="str">
        <f>HYPERLINK("#'Transportation Policy'!BT1","Q12.38_3")</f>
        <v>Q12.38_3</v>
      </c>
      <c r="V72" s="68" t="str">
        <f>HYPERLINK("#'Transportation Policy'!BT2","Duration of a typical lease - Other executives (excluding sales)")</f>
        <v>Duration of a typical lease - Other executives (excluding sales)</v>
      </c>
    </row>
    <row r="73" spans="1:22" ht="25.5" x14ac:dyDescent="0.2">
      <c r="A73" s="48" t="str">
        <f>HYPERLINK("#'Private Medical Insurance'!BU1","Q2.56")</f>
        <v>Q2.56</v>
      </c>
      <c r="B73" s="58" t="str">
        <f>HYPERLINK("#'Private Medical Insurance'!BU2","Individual deductible in GBP for outpatient benefits")</f>
        <v>Individual deductible in GBP for outpatient benefits</v>
      </c>
      <c r="C73" s="55" t="str">
        <f>HYPERLINK("#'Dental &amp; Vision'!BU1","Q3.54_7")</f>
        <v>Q3.54_7</v>
      </c>
      <c r="D73" s="49" t="str">
        <f>HYPERLINK("#'Dental &amp; Vision'!BU2","Payer of the vision benefit for dependent coverage - Other")</f>
        <v>Payer of the vision benefit for dependent coverage - Other</v>
      </c>
      <c r="E73" s="67" t="str">
        <f>HYPERLINK("#'Life,Accident,Critical Illness'!BU1","Q4.63_5_TEXT")</f>
        <v>Q4.63_5_TEXT</v>
      </c>
      <c r="F73" s="68" t="str">
        <f>HYPERLINK("#'Life,Accident,Critical Illness'!BU2","Other vendor for the most prevalent accident plan")</f>
        <v>Other vendor for the most prevalent accident plan</v>
      </c>
      <c r="G73" s="55" t="str">
        <f>HYPERLINK("#'Short &amp; Long Term Disability'!BU1","Q5.64")</f>
        <v>Q5.64</v>
      </c>
      <c r="H73" s="49" t="str">
        <f>HYPERLINK("#'Short &amp; Long Term Disability'!BU2","Maximum number of months")</f>
        <v>Maximum number of months</v>
      </c>
      <c r="I73" s="67" t="str">
        <f>HYPERLINK("#'Retirement'!BU1","Q6.68")</f>
        <v>Q6.68</v>
      </c>
      <c r="J73" s="68" t="str">
        <f>HYPERLINK("#'Retirement'!BU2","Have a defined benefit plan that only executives are eligible to participate in")</f>
        <v>Have a defined benefit plan that only executives are eligible to participate in</v>
      </c>
      <c r="O73" s="67" t="str">
        <f>HYPERLINK("#'Leaves'!BU1","Q9.72_8_TEXT")</f>
        <v>Q9.72_8_TEXT</v>
      </c>
      <c r="P73" s="68" t="str">
        <f>HYPERLINK("#'Leaves'!BU2","Other employees eligible to participate in the sick leave plan")</f>
        <v>Other employees eligible to participate in the sick leave plan</v>
      </c>
      <c r="S73" s="67" t="str">
        <f>HYPERLINK("#'Perks &amp; Allowances'!BU1","Q11.59")</f>
        <v>Q11.59</v>
      </c>
      <c r="T73" s="68" t="str">
        <f>HYPERLINK("#'Perks &amp; Allowances'!BU2","Requirements for an employee to participate in the tuition assistance program")</f>
        <v>Requirements for an employee to participate in the tuition assistance program</v>
      </c>
      <c r="U73" s="67" t="str">
        <f>HYPERLINK("#'Transportation Policy'!BU1","Q12.38_4")</f>
        <v>Q12.38_4</v>
      </c>
      <c r="V73" s="68" t="str">
        <f>HYPERLINK("#'Transportation Policy'!BU2","Duration of a typical lease - Sales executives only")</f>
        <v>Duration of a typical lease - Sales executives only</v>
      </c>
    </row>
    <row r="74" spans="1:22" ht="25.5" x14ac:dyDescent="0.2">
      <c r="A74" s="48" t="str">
        <f>HYPERLINK("#'Private Medical Insurance'!BV1","Q2.57")</f>
        <v>Q2.57</v>
      </c>
      <c r="B74" s="58" t="str">
        <f>HYPERLINK("#'Private Medical Insurance'!BV2","Family deductible in GBP for outpatient benefits")</f>
        <v>Family deductible in GBP for outpatient benefits</v>
      </c>
      <c r="C74" s="55" t="str">
        <f>HYPERLINK("#'Dental &amp; Vision'!BV1","Q3.54_7_TEXT")</f>
        <v>Q3.54_7_TEXT</v>
      </c>
      <c r="D74" s="49" t="str">
        <f>HYPERLINK("#'Dental &amp; Vision'!BV2","Description of other dependent")</f>
        <v>Description of other dependent</v>
      </c>
      <c r="E74" s="67" t="str">
        <f>HYPERLINK("#'Life,Accident,Critical Illness'!BV1","Q4.65")</f>
        <v>Q4.65</v>
      </c>
      <c r="F74" s="68" t="str">
        <f>HYPERLINK("#'Life,Accident,Critical Illness'!BV2","Offer some type of critical illness or dread disease benefit")</f>
        <v>Offer some type of critical illness or dread disease benefit</v>
      </c>
      <c r="G74" s="55" t="str">
        <f>HYPERLINK("#'Short &amp; Long Term Disability'!BV1","Q5.65")</f>
        <v>Q5.65</v>
      </c>
      <c r="H74" s="49" t="str">
        <f>HYPERLINK("#'Short &amp; Long Term Disability'!BV2","Maximum specified age")</f>
        <v>Maximum specified age</v>
      </c>
      <c r="I74" s="67" t="str">
        <f>HYPERLINK("#'Retirement'!BV1","Q6.69")</f>
        <v>Q6.69</v>
      </c>
      <c r="J74" s="68" t="str">
        <f>HYPERLINK("#'Retirement'!BV2","Description of the defined benefit plan for which only executives are eligible to participate")</f>
        <v>Description of the defined benefit plan for which only executives are eligible to participate</v>
      </c>
      <c r="O74" s="67" t="str">
        <f>HYPERLINK("#'Leaves'!BV1","Q9.73")</f>
        <v>Q9.73</v>
      </c>
      <c r="P74" s="68" t="str">
        <f>HYPERLINK("#'Leaves'!BV2","Sick leave requires proof (e.g., doctor's note)")</f>
        <v>Sick leave requires proof (e.g., doctor's note)</v>
      </c>
      <c r="S74" s="67" t="str">
        <f>HYPERLINK("#'Perks &amp; Allowances'!BV1","Q11.60")</f>
        <v>Q11.60</v>
      </c>
      <c r="T74" s="68" t="str">
        <f>HYPERLINK("#'Perks &amp; Allowances'!BV2","Other requirements for an employee to participate in the tuition assistance program")</f>
        <v>Other requirements for an employee to participate in the tuition assistance program</v>
      </c>
      <c r="U74" s="67" t="str">
        <f>HYPERLINK("#'Transportation Policy'!BV1","Q12.38_5")</f>
        <v>Q12.38_5</v>
      </c>
      <c r="V74" s="68" t="str">
        <f>HYPERLINK("#'Transportation Policy'!BV2","Duration of a typical lease - Other staff (excluding sales)")</f>
        <v>Duration of a typical lease - Other staff (excluding sales)</v>
      </c>
    </row>
    <row r="75" spans="1:22" ht="25.5" x14ac:dyDescent="0.2">
      <c r="A75" s="48" t="str">
        <f>HYPERLINK("#'Private Medical Insurance'!BW1","Q2.58")</f>
        <v>Q2.58</v>
      </c>
      <c r="B75" s="58" t="str">
        <f>HYPERLINK("#'Private Medical Insurance'!BW2","Reimbursement level for outpatient benefits")</f>
        <v>Reimbursement level for outpatient benefits</v>
      </c>
      <c r="C75" s="55" t="str">
        <f>HYPERLINK("#'Dental &amp; Vision'!BW1","Q3.55")</f>
        <v>Q3.55</v>
      </c>
      <c r="D75" s="49" t="str">
        <f>HYPERLINK("#'Dental &amp; Vision'!BW2","Have a vision plan that only executives are eligible to participate in")</f>
        <v>Have a vision plan that only executives are eligible to participate in</v>
      </c>
      <c r="E75" s="67" t="str">
        <f>HYPERLINK("#'Life,Accident,Critical Illness'!BW1","Q4.66")</f>
        <v>Q4.66</v>
      </c>
      <c r="F75" s="68" t="str">
        <f>HYPERLINK("#'Life,Accident,Critical Illness'!BW2","Provide different critical illness insurance plan designs, types or levels")</f>
        <v>Provide different critical illness insurance plan designs, types or levels</v>
      </c>
      <c r="G75" s="55" t="str">
        <f>HYPERLINK("#'Short &amp; Long Term Disability'!BW1","Q5.66")</f>
        <v>Q5.66</v>
      </c>
      <c r="H75" s="49" t="str">
        <f>HYPERLINK("#'Short &amp; Long Term Disability'!BW2","Payer of the premium")</f>
        <v>Payer of the premium</v>
      </c>
      <c r="I75" s="67" t="str">
        <f>HYPERLINK("#'Retirement'!BW1","Q6.71")</f>
        <v>Q6.71</v>
      </c>
      <c r="J75" s="68" t="str">
        <f>HYPERLINK("#'Retirement'!BW2","Description of the hybrid pension plan")</f>
        <v>Description of the hybrid pension plan</v>
      </c>
      <c r="O75" s="67" t="str">
        <f>HYPERLINK("#'Leaves'!BW1","Q9.74")</f>
        <v>Q9.74</v>
      </c>
      <c r="P75" s="68" t="str">
        <f>HYPERLINK("#'Leaves'!BW2","Number of days required before new employees are eligible for sick leave")</f>
        <v>Number of days required before new employees are eligible for sick leave</v>
      </c>
      <c r="S75" s="67" t="str">
        <f>HYPERLINK("#'Perks &amp; Allowances'!BW1","Q11.61")</f>
        <v>Q11.61</v>
      </c>
      <c r="T75" s="68" t="str">
        <f>HYPERLINK("#'Perks &amp; Allowances'!BW2","Require a passing grade under the tuition assistance program")</f>
        <v>Require a passing grade under the tuition assistance program</v>
      </c>
      <c r="U75" s="67" t="str">
        <f>HYPERLINK("#'Transportation Policy'!BW1","Q12.38_6")</f>
        <v>Q12.38_6</v>
      </c>
      <c r="V75" s="68" t="str">
        <f>HYPERLINK("#'Transportation Policy'!BW2","Duration of a typical lease - Other sales staff only")</f>
        <v>Duration of a typical lease - Other sales staff only</v>
      </c>
    </row>
    <row r="76" spans="1:22" ht="25.5" x14ac:dyDescent="0.2">
      <c r="A76" s="48" t="str">
        <f>HYPERLINK("#'Private Medical Insurance'!BX1","Q2.59")</f>
        <v>Q2.59</v>
      </c>
      <c r="B76" s="58" t="str">
        <f>HYPERLINK("#'Private Medical Insurance'!BX2","Vendor for the most prevalent PMI plan")</f>
        <v>Vendor for the most prevalent PMI plan</v>
      </c>
      <c r="C76" s="55" t="str">
        <f>HYPERLINK("#'Dental &amp; Vision'!BX1","Q3.56")</f>
        <v>Q3.56</v>
      </c>
      <c r="D76" s="49" t="str">
        <f>HYPERLINK("#'Dental &amp; Vision'!BX2","Description of the vision plan for which only executives are eligible to participate")</f>
        <v>Description of the vision plan for which only executives are eligible to participate</v>
      </c>
      <c r="E76" s="67" t="str">
        <f>HYPERLINK("#'Life,Accident,Critical Illness'!BX1","Q4.67")</f>
        <v>Q4.67</v>
      </c>
      <c r="F76" s="68" t="str">
        <f>HYPERLINK("#'Life,Accident,Critical Illness'!BX2","Number of critical illness plan designs or levels provided")</f>
        <v>Number of critical illness plan designs or levels provided</v>
      </c>
      <c r="G76" s="55" t="str">
        <f>HYPERLINK("#'Short &amp; Long Term Disability'!BX1","Q5.67")</f>
        <v>Q5.67</v>
      </c>
      <c r="H76" s="49" t="str">
        <f>HYPERLINK("#'Short &amp; Long Term Disability'!BX2","Method of employee cost sharing")</f>
        <v>Method of employee cost sharing</v>
      </c>
      <c r="I76" s="67" t="str">
        <f>HYPERLINK("#'Retirement'!BX1","Q6.73")</f>
        <v>Q6.73</v>
      </c>
      <c r="J76" s="68" t="str">
        <f>HYPERLINK("#'Retirement'!BX2","Description of the group personal pension plan")</f>
        <v>Description of the group personal pension plan</v>
      </c>
      <c r="O76" s="67" t="str">
        <f>HYPERLINK("#'Leaves'!BX1","Q9.75")</f>
        <v>Q9.75</v>
      </c>
      <c r="P76" s="68" t="str">
        <f>HYPERLINK("#'Leaves'!BX2","Number of weeks an employee is entitled to for sick leave")</f>
        <v>Number of weeks an employee is entitled to for sick leave</v>
      </c>
      <c r="S76" s="67" t="str">
        <f>HYPERLINK("#'Perks &amp; Allowances'!BX1","Q11.62")</f>
        <v>Q11.62</v>
      </c>
      <c r="T76" s="68" t="str">
        <f>HYPERLINK("#'Perks &amp; Allowances'!BX2","Annual maximum benefit in GBP, if any, for the tuition assistance program")</f>
        <v>Annual maximum benefit in GBP, if any, for the tuition assistance program</v>
      </c>
      <c r="U76" s="67" t="str">
        <f>HYPERLINK("#'Transportation Policy'!BX1","Q12.39")</f>
        <v>Q12.39</v>
      </c>
      <c r="V76" s="68" t="str">
        <f>HYPERLINK("#'Transportation Policy'!BX2","Other duration of a typical lease")</f>
        <v>Other duration of a typical lease</v>
      </c>
    </row>
    <row r="77" spans="1:22" ht="25.5" x14ac:dyDescent="0.2">
      <c r="A77" s="48" t="str">
        <f>HYPERLINK("#'Private Medical Insurance'!BY1","Q2.59_5_TEXT")</f>
        <v>Q2.59_5_TEXT</v>
      </c>
      <c r="B77" s="58" t="str">
        <f>HYPERLINK("#'Private Medical Insurance'!BY2","Other vendor for the most prevalent PMI plan")</f>
        <v>Other vendor for the most prevalent PMI plan</v>
      </c>
      <c r="C77" s="55" t="str">
        <f>HYPERLINK("#'Dental &amp; Vision'!BY1","Q3.57")</f>
        <v>Q3.57</v>
      </c>
      <c r="D77" s="49" t="str">
        <f>HYPERLINK("#'Dental &amp; Vision'!BY2","Vendor for the most prevalent vision plan")</f>
        <v>Vendor for the most prevalent vision plan</v>
      </c>
      <c r="E77" s="67" t="str">
        <f>HYPERLINK("#'Life,Accident,Critical Illness'!BY1","Q4.68")</f>
        <v>Q4.68</v>
      </c>
      <c r="F77" s="68" t="str">
        <f>HYPERLINK("#'Life,Accident,Critical Illness'!BY2","Allow employees to increase or decrease their coverage level via flex")</f>
        <v>Allow employees to increase or decrease their coverage level via flex</v>
      </c>
      <c r="G77" s="55" t="str">
        <f>HYPERLINK("#'Short &amp; Long Term Disability'!BY1","Q5.68")</f>
        <v>Q5.68</v>
      </c>
      <c r="H77" s="49" t="str">
        <f>HYPERLINK("#'Short &amp; Long Term Disability'!BY2","Flat amount the employee is required to pay in GBP")</f>
        <v>Flat amount the employee is required to pay in GBP</v>
      </c>
      <c r="I77" s="67" t="str">
        <f>HYPERLINK("#'Retirement'!BY1","Q6.75")</f>
        <v>Q6.75</v>
      </c>
      <c r="J77" s="68" t="str">
        <f>HYPERLINK("#'Retirement'!BY2","Description of the Master Trust/NEST pension plan")</f>
        <v>Description of the Master Trust/NEST pension plan</v>
      </c>
      <c r="O77" s="67" t="str">
        <f>HYPERLINK("#'Leaves'!BY1","Q9.76")</f>
        <v>Q9.76</v>
      </c>
      <c r="P77" s="68" t="str">
        <f>HYPERLINK("#'Leaves'!BY2","Allow sick leave to be carried forward to the next year")</f>
        <v>Allow sick leave to be carried forward to the next year</v>
      </c>
      <c r="S77" s="67" t="str">
        <f>HYPERLINK("#'Perks &amp; Allowances'!BY1","Q11.63")</f>
        <v>Q11.63</v>
      </c>
      <c r="T77" s="68" t="str">
        <f>HYPERLINK("#'Perks &amp; Allowances'!BY2","Funeral ceremony expense assistance policy")</f>
        <v>Funeral ceremony expense assistance policy</v>
      </c>
      <c r="U77" s="67" t="str">
        <f>HYPERLINK("#'Transportation Policy'!BY1","Q12.40")</f>
        <v>Q12.40</v>
      </c>
      <c r="V77" s="68" t="str">
        <f>HYPERLINK("#'Transportation Policy'!BY2","Role that negotiates the lease")</f>
        <v>Role that negotiates the lease</v>
      </c>
    </row>
    <row r="78" spans="1:22" ht="26.25" thickBot="1" x14ac:dyDescent="0.25">
      <c r="A78" s="48" t="str">
        <f>HYPERLINK("#'Private Medical Insurance'!BZ1","Q2.60")</f>
        <v>Q2.60</v>
      </c>
      <c r="B78" s="58" t="str">
        <f>HYPERLINK("#'Private Medical Insurance'!BZ2","Offer medical excess or shortfall insurance")</f>
        <v>Offer medical excess or shortfall insurance</v>
      </c>
      <c r="C78" s="61" t="str">
        <f>HYPERLINK("#'Dental &amp; Vision'!BZ1","Q3.57_5_TEXT")</f>
        <v>Q3.57_5_TEXT</v>
      </c>
      <c r="D78" s="62" t="str">
        <f>HYPERLINK("#'Dental &amp; Vision'!BZ2","Other vendor for the most prevalent vision plan")</f>
        <v>Other vendor for the most prevalent vision plan</v>
      </c>
      <c r="E78" s="67" t="str">
        <f>HYPERLINK("#'Life,Accident,Critical Illness'!BZ1","Q4.70")</f>
        <v>Q4.70</v>
      </c>
      <c r="F78" s="68" t="str">
        <f>HYPERLINK("#'Life,Accident,Critical Illness'!BZ2","Employees eligible to participate in the critical illness plan")</f>
        <v>Employees eligible to participate in the critical illness plan</v>
      </c>
      <c r="G78" s="55" t="str">
        <f>HYPERLINK("#'Short &amp; Long Term Disability'!BZ1","Q5.69")</f>
        <v>Q5.69</v>
      </c>
      <c r="H78" s="49" t="str">
        <f>HYPERLINK("#'Short &amp; Long Term Disability'!BZ2","Percentage the employee is required to pay")</f>
        <v>Percentage the employee is required to pay</v>
      </c>
      <c r="I78" s="67" t="str">
        <f>HYPERLINK("#'Retirement'!BZ1","Q6.77")</f>
        <v>Q6.77</v>
      </c>
      <c r="J78" s="68" t="str">
        <f>HYPERLINK("#'Retirement'!BZ2","Have a maximum limit for employer contributions in the employee savings account")</f>
        <v>Have a maximum limit for employer contributions in the employee savings account</v>
      </c>
      <c r="O78" s="67" t="str">
        <f>HYPERLINK("#'Leaves'!BZ1","Q9.77")</f>
        <v>Q9.77</v>
      </c>
      <c r="P78" s="68" t="str">
        <f>HYPERLINK("#'Leaves'!BZ2","Have a maximum number of hours that can be carried forward")</f>
        <v>Have a maximum number of hours that can be carried forward</v>
      </c>
      <c r="S78" s="67" t="str">
        <f>HYPERLINK("#'Perks &amp; Allowances'!BZ1","Q11.64")</f>
        <v>Q11.64</v>
      </c>
      <c r="T78" s="68" t="str">
        <f>HYPERLINK("#'Perks &amp; Allowances'!BZ2","Employees eligible to participate in the funeral ceremony expense assistance program")</f>
        <v>Employees eligible to participate in the funeral ceremony expense assistance program</v>
      </c>
      <c r="U78" s="67" t="str">
        <f>HYPERLINK("#'Transportation Policy'!BZ1","Q12.40_5_TEXT")</f>
        <v>Q12.40_5_TEXT</v>
      </c>
      <c r="V78" s="68" t="str">
        <f>HYPERLINK("#'Transportation Policy'!BZ2","Other role that negotiates the lease")</f>
        <v>Other role that negotiates the lease</v>
      </c>
    </row>
    <row r="79" spans="1:22" ht="25.5" x14ac:dyDescent="0.2">
      <c r="A79" s="48" t="str">
        <f>HYPERLINK("#'Private Medical Insurance'!CA1","Q2.61")</f>
        <v>Q2.61</v>
      </c>
      <c r="B79" s="58" t="str">
        <f>HYPERLINK("#'Private Medical Insurance'!CA2","Annual maximum value of the medical excess insurance in GBP")</f>
        <v>Annual maximum value of the medical excess insurance in GBP</v>
      </c>
      <c r="C79" s="63"/>
      <c r="D79" s="64"/>
      <c r="E79" s="67" t="str">
        <f>HYPERLINK("#'Life,Accident,Critical Illness'!CA1","Q4.70_8_TEXT")</f>
        <v>Q4.70_8_TEXT</v>
      </c>
      <c r="F79" s="68" t="str">
        <f>HYPERLINK("#'Life,Accident,Critical Illness'!CA2","Other employees eligible to participate in the critical illness plan")</f>
        <v>Other employees eligible to participate in the critical illness plan</v>
      </c>
      <c r="G79" s="55" t="str">
        <f>HYPERLINK("#'Short &amp; Long Term Disability'!CA1","Q5.70")</f>
        <v>Q5.70</v>
      </c>
      <c r="H79" s="49" t="str">
        <f>HYPERLINK("#'Short &amp; Long Term Disability'!CA2","Flat amount of the company contribution in GBP")</f>
        <v>Flat amount of the company contribution in GBP</v>
      </c>
      <c r="I79" s="67" t="str">
        <f>HYPERLINK("#'Retirement'!CA1","Q6.78")</f>
        <v>Q6.78</v>
      </c>
      <c r="J79" s="68" t="str">
        <f>HYPERLINK("#'Retirement'!CA2","Maximum employer contribution amount/percentage")</f>
        <v>Maximum employer contribution amount/percentage</v>
      </c>
      <c r="O79" s="67" t="str">
        <f>HYPERLINK("#'Leaves'!CA1","Q9.78")</f>
        <v>Q9.78</v>
      </c>
      <c r="P79" s="68" t="str">
        <f>HYPERLINK("#'Leaves'!CA2","Maximum number of hours that can be carried forward")</f>
        <v>Maximum number of hours that can be carried forward</v>
      </c>
      <c r="S79" s="67" t="str">
        <f>HYPERLINK("#'Perks &amp; Allowances'!CA1","Q11.64_8_TEXT")</f>
        <v>Q11.64_8_TEXT</v>
      </c>
      <c r="T79" s="68" t="str">
        <f>HYPERLINK("#'Perks &amp; Allowances'!CA2","Other employees eligible to participate in the funeral ceremony expense assistance program")</f>
        <v>Other employees eligible to participate in the funeral ceremony expense assistance program</v>
      </c>
      <c r="U79" s="67" t="str">
        <f>HYPERLINK("#'Transportation Policy'!CA1","Q12.41")</f>
        <v>Q12.41</v>
      </c>
      <c r="V79" s="68" t="str">
        <f>HYPERLINK("#'Transportation Policy'!CA2","Role that signs the lease")</f>
        <v>Role that signs the lease</v>
      </c>
    </row>
    <row r="80" spans="1:22" ht="38.25" x14ac:dyDescent="0.2">
      <c r="A80" s="48" t="str">
        <f>HYPERLINK("#'Private Medical Insurance'!CB1","Q2.62")</f>
        <v>Q2.62</v>
      </c>
      <c r="B80" s="58" t="str">
        <f>HYPERLINK("#'Private Medical Insurance'!CB2","Annual maximum value of the medical shortfall insurance in GBP")</f>
        <v>Annual maximum value of the medical shortfall insurance in GBP</v>
      </c>
      <c r="E80" s="67" t="str">
        <f>HYPERLINK("#'Life,Accident,Critical Illness'!CB1","Q4.71")</f>
        <v>Q4.71</v>
      </c>
      <c r="F80" s="68" t="str">
        <f>HYPERLINK("#'Life,Accident,Critical Illness'!CB2","Part-time employees eligible to participate in the critical illness plan")</f>
        <v>Part-time employees eligible to participate in the critical illness plan</v>
      </c>
      <c r="G80" s="55" t="str">
        <f>HYPERLINK("#'Short &amp; Long Term Disability'!CB1","Q5.71")</f>
        <v>Q5.71</v>
      </c>
      <c r="H80" s="49" t="str">
        <f>HYPERLINK("#'Short &amp; Long Term Disability'!CB2","How cost sharing is determined")</f>
        <v>How cost sharing is determined</v>
      </c>
      <c r="I80" s="67" t="str">
        <f>HYPERLINK("#'Retirement'!CB1","Q6.80")</f>
        <v>Q6.80</v>
      </c>
      <c r="J80" s="68" t="str">
        <f>HYPERLINK("#'Retirement'!CB2","Employees eligible to participate in the pension contribution flex")</f>
        <v>Employees eligible to participate in the pension contribution flex</v>
      </c>
      <c r="O80" s="67" t="str">
        <f>HYPERLINK("#'Leaves'!CB1","Q9.79")</f>
        <v>Q9.79</v>
      </c>
      <c r="P80" s="68" t="str">
        <f>HYPERLINK("#'Leaves'!CB2","Treatment of hours above the carry forward maximum")</f>
        <v>Treatment of hours above the carry forward maximum</v>
      </c>
      <c r="S80" s="67" t="str">
        <f>HYPERLINK("#'Perks &amp; Allowances'!CB1","Q11.65")</f>
        <v>Q11.65</v>
      </c>
      <c r="T80" s="68" t="str">
        <f>HYPERLINK("#'Perks &amp; Allowances'!CB2","Number of days required before new employees are eligible for the funeral ceremony expense assistance program")</f>
        <v>Number of days required before new employees are eligible for the funeral ceremony expense assistance program</v>
      </c>
      <c r="U80" s="67" t="str">
        <f>HYPERLINK("#'Transportation Policy'!CB1","Q12.41_5_TEXT")</f>
        <v>Q12.41_5_TEXT</v>
      </c>
      <c r="V80" s="68" t="str">
        <f>HYPERLINK("#'Transportation Policy'!CB2","Other role that signs the lease")</f>
        <v>Other role that signs the lease</v>
      </c>
    </row>
    <row r="81" spans="1:22" ht="38.25" x14ac:dyDescent="0.2">
      <c r="A81" s="48" t="str">
        <f>HYPERLINK("#'Private Medical Insurance'!CC1","Q2.63")</f>
        <v>Q2.63</v>
      </c>
      <c r="B81" s="58" t="str">
        <f>HYPERLINK("#'Private Medical Insurance'!CC2","How the medical excess or shortfall insurance is paid")</f>
        <v>How the medical excess or shortfall insurance is paid</v>
      </c>
      <c r="E81" s="67" t="str">
        <f>HYPERLINK("#'Life,Accident,Critical Illness'!CC1","Q4.72")</f>
        <v>Q4.72</v>
      </c>
      <c r="F81" s="68" t="str">
        <f>HYPERLINK("#'Life,Accident,Critical Illness'!CC2","Minimum hourly eligibility requirement for part-time employees per week")</f>
        <v>Minimum hourly eligibility requirement for part-time employees per week</v>
      </c>
      <c r="G81" s="55" t="str">
        <f>HYPERLINK("#'Short &amp; Long Term Disability'!CC1","Q5.72")</f>
        <v>Q5.72</v>
      </c>
      <c r="H81" s="49" t="str">
        <f>HYPERLINK("#'Short &amp; Long Term Disability'!CC2","Have a long-term disability plan for which only executives are eligible to participate")</f>
        <v>Have a long-term disability plan for which only executives are eligible to participate</v>
      </c>
      <c r="I81" s="67" t="str">
        <f>HYPERLINK("#'Retirement'!CC1","Q6.80_8_TEXT")</f>
        <v>Q6.80_8_TEXT</v>
      </c>
      <c r="J81" s="68" t="str">
        <f>HYPERLINK("#'Retirement'!CC2","Other employees eligible to participate in the pension contribution flex")</f>
        <v>Other employees eligible to participate in the pension contribution flex</v>
      </c>
      <c r="O81" s="67" t="str">
        <f>HYPERLINK("#'Leaves'!CC1","Q9.80")</f>
        <v>Q9.80</v>
      </c>
      <c r="P81" s="68" t="str">
        <f>HYPERLINK("#'Leaves'!CC2","Other treatment of hours above the carry forward maximum")</f>
        <v>Other treatment of hours above the carry forward maximum</v>
      </c>
      <c r="S81" s="67" t="str">
        <f>HYPERLINK("#'Perks &amp; Allowances'!CC1","Q11.66")</f>
        <v>Q11.66</v>
      </c>
      <c r="T81" s="68" t="str">
        <f>HYPERLINK("#'Perks &amp; Allowances'!CC2","Annual maximum benefit in GBP, if any, for the funeral ceremony expense assistance program")</f>
        <v>Annual maximum benefit in GBP, if any, for the funeral ceremony expense assistance program</v>
      </c>
      <c r="U81" s="67" t="str">
        <f>HYPERLINK("#'Transportation Policy'!CC1","Q12.42")</f>
        <v>Q12.42</v>
      </c>
      <c r="V81" s="68" t="str">
        <f>HYPERLINK("#'Transportation Policy'!CC2","Allow employees to purchase the vehicle once the lease arrangement has ended")</f>
        <v>Allow employees to purchase the vehicle once the lease arrangement has ended</v>
      </c>
    </row>
    <row r="82" spans="1:22" ht="38.25" x14ac:dyDescent="0.2">
      <c r="A82" s="48" t="str">
        <f>HYPERLINK("#'Private Medical Insurance'!CD1","Q2.64")</f>
        <v>Q2.64</v>
      </c>
      <c r="B82" s="58" t="str">
        <f>HYPERLINK("#'Private Medical Insurance'!CD2","Method for employee cost sharing")</f>
        <v>Method for employee cost sharing</v>
      </c>
      <c r="E82" s="67" t="str">
        <f>HYPERLINK("#'Life,Accident,Critical Illness'!CD1","Q4.73")</f>
        <v>Q4.73</v>
      </c>
      <c r="F82" s="68" t="str">
        <f>HYPERLINK("#'Life,Accident,Critical Illness'!CD2","Types of compensation covered/eligible under the plan")</f>
        <v>Types of compensation covered/eligible under the plan</v>
      </c>
      <c r="G82" s="55" t="str">
        <f>HYPERLINK("#'Short &amp; Long Term Disability'!CD1","Q5.73")</f>
        <v>Q5.73</v>
      </c>
      <c r="H82" s="49" t="str">
        <f>HYPERLINK("#'Short &amp; Long Term Disability'!CD2","Description of the long-term disability plan for which only executives are eligible to participate")</f>
        <v>Description of the long-term disability plan for which only executives are eligible to participate</v>
      </c>
      <c r="I82" s="67" t="str">
        <f>HYPERLINK("#'Retirement'!CD1","Q6.81")</f>
        <v>Q6.81</v>
      </c>
      <c r="J82" s="68" t="str">
        <f>HYPERLINK("#'Retirement'!CD2","Type of pension flex to savings opportunity offered ")</f>
        <v xml:space="preserve">Type of pension flex to savings opportunity offered </v>
      </c>
      <c r="O82" s="67" t="str">
        <f>HYPERLINK("#'Leaves'!CD1","Q9.82")</f>
        <v>Q9.82</v>
      </c>
      <c r="P82" s="68" t="str">
        <f>HYPERLINK("#'Leaves'!CD2","Approach to marriage leave")</f>
        <v>Approach to marriage leave</v>
      </c>
      <c r="S82" s="67" t="str">
        <f>HYPERLINK("#'Perks &amp; Allowances'!CD1","Q11.67")</f>
        <v>Q11.67</v>
      </c>
      <c r="T82" s="68" t="str">
        <f>HYPERLINK("#'Perks &amp; Allowances'!CD2","Employee share plan policy")</f>
        <v>Employee share plan policy</v>
      </c>
      <c r="U82" s="67" t="str">
        <f>HYPERLINK("#'Transportation Policy'!CD1","Q12.42_4_TEXT")</f>
        <v>Q12.42_4_TEXT</v>
      </c>
      <c r="V82" s="68" t="str">
        <f>HYPERLINK("#'Transportation Policy'!CD2","Other approach to allowing employees to purchase the vehicle once the lease arrangement has ended")</f>
        <v>Other approach to allowing employees to purchase the vehicle once the lease arrangement has ended</v>
      </c>
    </row>
    <row r="83" spans="1:22" ht="25.5" x14ac:dyDescent="0.2">
      <c r="A83" s="48" t="str">
        <f>HYPERLINK("#'Private Medical Insurance'!CE1","Q2.65")</f>
        <v>Q2.65</v>
      </c>
      <c r="B83" s="58" t="str">
        <f>HYPERLINK("#'Private Medical Insurance'!CE2","Flat amount in GBP that the employee is required to pay")</f>
        <v>Flat amount in GBP that the employee is required to pay</v>
      </c>
      <c r="E83" s="67" t="str">
        <f>HYPERLINK("#'Life,Accident,Critical Illness'!CE1","Q4.73_7_TEXT")</f>
        <v>Q4.73_7_TEXT</v>
      </c>
      <c r="F83" s="68" t="str">
        <f>HYPERLINK("#'Life,Accident,Critical Illness'!CE2","Other types of compensation covered/eligible under the plan")</f>
        <v>Other types of compensation covered/eligible under the plan</v>
      </c>
      <c r="G83" s="55" t="str">
        <f>HYPERLINK("#'Short &amp; Long Term Disability'!CE1","Q5.74")</f>
        <v>Q5.74</v>
      </c>
      <c r="H83" s="49" t="str">
        <f>HYPERLINK("#'Short &amp; Long Term Disability'!CE2","Vendor for the most prevalent long-term disability plan")</f>
        <v>Vendor for the most prevalent long-term disability plan</v>
      </c>
      <c r="I83" s="67" t="str">
        <f>HYPERLINK("#'Retirement'!CE1","Q6.82")</f>
        <v>Q6.82</v>
      </c>
      <c r="J83" s="68" t="str">
        <f>HYPERLINK("#'Retirement'!CE2","Maintain the current pension employee/employer split ratio")</f>
        <v>Maintain the current pension employee/employer split ratio</v>
      </c>
      <c r="O83" s="67" t="str">
        <f>HYPERLINK("#'Leaves'!CE1","Q9.83")</f>
        <v>Q9.83</v>
      </c>
      <c r="P83" s="68" t="str">
        <f>HYPERLINK("#'Leaves'!CE2","How marriage leave is paid")</f>
        <v>How marriage leave is paid</v>
      </c>
      <c r="S83" s="67" t="str">
        <f>HYPERLINK("#'Perks &amp; Allowances'!CE1","Q11.68")</f>
        <v>Q11.68</v>
      </c>
      <c r="T83" s="68" t="str">
        <f>HYPERLINK("#'Perks &amp; Allowances'!CE2","Employees eligible to participate in the employee share plan")</f>
        <v>Employees eligible to participate in the employee share plan</v>
      </c>
      <c r="U83" s="67" t="str">
        <f>HYPERLINK("#'Transportation Policy'!CE1","Q12.43")</f>
        <v>Q12.43</v>
      </c>
      <c r="V83" s="68" t="str">
        <f>HYPERLINK("#'Transportation Policy'!CE2","Process for company-owned or leased vehicles")</f>
        <v>Process for company-owned or leased vehicles</v>
      </c>
    </row>
    <row r="84" spans="1:22" ht="39" thickBot="1" x14ac:dyDescent="0.25">
      <c r="A84" s="48" t="str">
        <f>HYPERLINK("#'Private Medical Insurance'!CF1","Q2.66")</f>
        <v>Q2.66</v>
      </c>
      <c r="B84" s="58" t="str">
        <f>HYPERLINK("#'Private Medical Insurance'!CF2","Percentage the employee is required to pay")</f>
        <v>Percentage the employee is required to pay</v>
      </c>
      <c r="E84" s="67" t="str">
        <f>HYPERLINK("#'Life,Accident,Critical Illness'!CF1","Q4.74")</f>
        <v>Q4.74</v>
      </c>
      <c r="F84" s="68" t="str">
        <f>HYPERLINK("#'Life,Accident,Critical Illness'!CF2","Number of days required before new employees are eligible for the critical illness plan")</f>
        <v>Number of days required before new employees are eligible for the critical illness plan</v>
      </c>
      <c r="G84" s="71" t="str">
        <f>HYPERLINK("#'Short &amp; Long Term Disability'!CF1","Q5.74_5_TEXT")</f>
        <v>Q5.74_5_TEXT</v>
      </c>
      <c r="H84" s="72" t="str">
        <f>HYPERLINK("#'Short &amp; Long Term Disability'!CF2","Other vendor for the most prevalent long-term disability plan")</f>
        <v>Other vendor for the most prevalent long-term disability plan</v>
      </c>
      <c r="I84" s="67" t="str">
        <f>HYPERLINK("#'Retirement'!CF1","Q6.82_3_TEXT")</f>
        <v>Q6.82_3_TEXT</v>
      </c>
      <c r="J84" s="68" t="str">
        <f>HYPERLINK("#'Retirement'!CF2","Other approach to maintaining the current pension employee/employer split ratio")</f>
        <v>Other approach to maintaining the current pension employee/employer split ratio</v>
      </c>
      <c r="O84" s="67" t="str">
        <f>HYPERLINK("#'Leaves'!CF1","Q9.84")</f>
        <v>Q9.84</v>
      </c>
      <c r="P84" s="68" t="str">
        <f>HYPERLINK("#'Leaves'!CF2","Employees eligible to participate in the marriage leave plan")</f>
        <v>Employees eligible to participate in the marriage leave plan</v>
      </c>
      <c r="S84" s="67" t="str">
        <f>HYPERLINK("#'Perks &amp; Allowances'!CF1","Q11.68_8_TEXT")</f>
        <v>Q11.68_8_TEXT</v>
      </c>
      <c r="T84" s="68" t="str">
        <f>HYPERLINK("#'Perks &amp; Allowances'!CF2","Other employees eligible to participate in the employee share plan")</f>
        <v>Other employees eligible to participate in the employee share plan</v>
      </c>
      <c r="U84" s="67" t="str">
        <f>HYPERLINK("#'Transportation Policy'!CF1","Q12.45")</f>
        <v>Q12.45</v>
      </c>
      <c r="V84" s="68" t="str">
        <f>HYPERLINK("#'Transportation Policy'!CF2","Require reporting of personal use of the company car")</f>
        <v>Require reporting of personal use of the company car</v>
      </c>
    </row>
    <row r="85" spans="1:22" ht="38.25" x14ac:dyDescent="0.2">
      <c r="A85" s="48" t="str">
        <f>HYPERLINK("#'Private Medical Insurance'!CG1","Q2.67")</f>
        <v>Q2.67</v>
      </c>
      <c r="B85" s="58" t="str">
        <f>HYPERLINK("#'Private Medical Insurance'!CG2","Flat amount in GBP of the company contribution")</f>
        <v>Flat amount in GBP of the company contribution</v>
      </c>
      <c r="E85" s="67" t="str">
        <f>HYPERLINK("#'Life,Accident,Critical Illness'!CG1","Q4.75")</f>
        <v>Q4.75</v>
      </c>
      <c r="F85" s="68" t="str">
        <f>HYPERLINK("#'Life,Accident,Critical Illness'!CG2","Approach to employee participation")</f>
        <v>Approach to employee participation</v>
      </c>
      <c r="G85" s="73"/>
      <c r="H85" s="74"/>
      <c r="I85" s="67" t="str">
        <f>HYPERLINK("#'Retirement'!CG1","Q6.83")</f>
        <v>Q6.83</v>
      </c>
      <c r="J85" s="68" t="str">
        <f>HYPERLINK("#'Retirement'!CG2","Allow employees to flex below the current pension auto enrolment minimums")</f>
        <v>Allow employees to flex below the current pension auto enrolment minimums</v>
      </c>
      <c r="O85" s="67" t="str">
        <f>HYPERLINK("#'Leaves'!CG1","Q9.84_8_TEXT")</f>
        <v>Q9.84_8_TEXT</v>
      </c>
      <c r="P85" s="68" t="str">
        <f>HYPERLINK("#'Leaves'!CG2","Other employees eligible to participate in the marriage leave plan")</f>
        <v>Other employees eligible to participate in the marriage leave plan</v>
      </c>
      <c r="S85" s="67" t="str">
        <f>HYPERLINK("#'Perks &amp; Allowances'!CG1","Q11.69")</f>
        <v>Q11.69</v>
      </c>
      <c r="T85" s="68" t="str">
        <f>HYPERLINK("#'Perks &amp; Allowances'!CG2","Number of days required before new employees are eligible for the employee share plan")</f>
        <v>Number of days required before new employees are eligible for the employee share plan</v>
      </c>
      <c r="U85" s="67" t="str">
        <f>HYPERLINK("#'Transportation Policy'!CG1","Q12.46")</f>
        <v>Q12.46</v>
      </c>
      <c r="V85" s="68" t="str">
        <f>HYPERLINK("#'Transportation Policy'!CG2","Requirements for reporting personal use of the company car")</f>
        <v>Requirements for reporting personal use of the company car</v>
      </c>
    </row>
    <row r="86" spans="1:22" ht="26.25" thickBot="1" x14ac:dyDescent="0.25">
      <c r="A86" s="48" t="str">
        <f>HYPERLINK("#'Private Medical Insurance'!CH1","Q2.68")</f>
        <v>Q2.68</v>
      </c>
      <c r="B86" s="58" t="str">
        <f>HYPERLINK("#'Private Medical Insurance'!CH2","How cost sharing is determined")</f>
        <v>How cost sharing is determined</v>
      </c>
      <c r="E86" s="67" t="str">
        <f>HYPERLINK("#'Life,Accident,Critical Illness'!CH1","Q4.76")</f>
        <v>Q4.76</v>
      </c>
      <c r="F86" s="68" t="str">
        <f>HYPERLINK("#'Life,Accident,Critical Illness'!CH2","Benefit formula used for the plan")</f>
        <v>Benefit formula used for the plan</v>
      </c>
      <c r="I86" s="69" t="str">
        <f>HYPERLINK("#'Retirement'!CH1","Q6.85")</f>
        <v>Q6.85</v>
      </c>
      <c r="J86" s="70" t="str">
        <f>HYPERLINK("#'Retirement'!CH2","Description of the other pension plan")</f>
        <v>Description of the other pension plan</v>
      </c>
      <c r="O86" s="67" t="str">
        <f>HYPERLINK("#'Leaves'!CH1","Q9.85")</f>
        <v>Q9.85</v>
      </c>
      <c r="P86" s="68" t="str">
        <f>HYPERLINK("#'Leaves'!CH2","Number of days required before new employees are eligible for marriage leave")</f>
        <v>Number of days required before new employees are eligible for marriage leave</v>
      </c>
      <c r="S86" s="67" t="str">
        <f>HYPERLINK("#'Perks &amp; Allowances'!CH1","Q11.70")</f>
        <v>Q11.70</v>
      </c>
      <c r="T86" s="68" t="str">
        <f>HYPERLINK("#'Perks &amp; Allowances'!CH2","Method of offering shares to employees")</f>
        <v>Method of offering shares to employees</v>
      </c>
      <c r="U86" s="67" t="str">
        <f>HYPERLINK("#'Transportation Policy'!CH1","Q12.46_8_TEXT")</f>
        <v>Q12.46_8_TEXT</v>
      </c>
      <c r="V86" s="68" t="str">
        <f>HYPERLINK("#'Transportation Policy'!CH2","Other requirements for reporting personal use of the company car")</f>
        <v>Other requirements for reporting personal use of the company car</v>
      </c>
    </row>
    <row r="87" spans="1:22" ht="25.5" x14ac:dyDescent="0.2">
      <c r="A87" s="48" t="str">
        <f>HYPERLINK("#'Private Medical Insurance'!CI1","Q2.69")</f>
        <v>Q2.69</v>
      </c>
      <c r="B87" s="58" t="str">
        <f>HYPERLINK("#'Private Medical Insurance'!CI2","Vendor for medical excess or shortfall insurance")</f>
        <v>Vendor for medical excess or shortfall insurance</v>
      </c>
      <c r="E87" s="67" t="str">
        <f>HYPERLINK("#'Life,Accident,Critical Illness'!CI1","Q4.77")</f>
        <v>Q4.77</v>
      </c>
      <c r="F87" s="68" t="str">
        <f>HYPERLINK("#'Life,Accident,Critical Illness'!CI2","Flat amount is the same for all employees")</f>
        <v>Flat amount is the same for all employees</v>
      </c>
      <c r="O87" s="67" t="str">
        <f>HYPERLINK("#'Leaves'!CI1","Q9.86")</f>
        <v>Q9.86</v>
      </c>
      <c r="P87" s="68" t="str">
        <f>HYPERLINK("#'Leaves'!CI2","Number of weeks an employee is entitled to for marriage leave")</f>
        <v>Number of weeks an employee is entitled to for marriage leave</v>
      </c>
      <c r="S87" s="67" t="str">
        <f>HYPERLINK("#'Perks &amp; Allowances'!CI1","Q11.70_3_TEXT")</f>
        <v>Q11.70_3_TEXT</v>
      </c>
      <c r="T87" s="68" t="str">
        <f>HYPERLINK("#'Perks &amp; Allowances'!CI2","Other method of offering shares to employees")</f>
        <v>Other method of offering shares to employees</v>
      </c>
      <c r="U87" s="67" t="str">
        <f>HYPERLINK("#'Transportation Policy'!CI1","Q12.48")</f>
        <v>Q12.48</v>
      </c>
      <c r="V87" s="68" t="str">
        <f>HYPERLINK("#'Transportation Policy'!CI2","Employees eligible for a personal car and driver")</f>
        <v>Employees eligible for a personal car and driver</v>
      </c>
    </row>
    <row r="88" spans="1:22" ht="25.5" x14ac:dyDescent="0.2">
      <c r="A88" s="48" t="str">
        <f>HYPERLINK("#'Private Medical Insurance'!CJ1","Q2.70")</f>
        <v>Q2.70</v>
      </c>
      <c r="B88" s="58" t="str">
        <f>HYPERLINK("#'Private Medical Insurance'!CJ2","Have a medical plan that only executives are eligible to participate in")</f>
        <v>Have a medical plan that only executives are eligible to participate in</v>
      </c>
      <c r="E88" s="67" t="str">
        <f>HYPERLINK("#'Life,Accident,Critical Illness'!CJ1","Q4.78")</f>
        <v>Q4.78</v>
      </c>
      <c r="F88" s="68" t="str">
        <f>HYPERLINK("#'Life,Accident,Critical Illness'!CJ2","Flat amount of the benefit provided in GBP")</f>
        <v>Flat amount of the benefit provided in GBP</v>
      </c>
      <c r="O88" s="67" t="str">
        <f>HYPERLINK("#'Leaves'!CJ1","Q9.88")</f>
        <v>Q9.88</v>
      </c>
      <c r="P88" s="68" t="str">
        <f>HYPERLINK("#'Leaves'!CJ2","Approach to bereavement/funeral leave")</f>
        <v>Approach to bereavement/funeral leave</v>
      </c>
      <c r="S88" s="67" t="str">
        <f>HYPERLINK("#'Perks &amp; Allowances'!CJ1","Q11.71")</f>
        <v>Q11.71</v>
      </c>
      <c r="T88" s="68" t="str">
        <f>HYPERLINK("#'Perks &amp; Allowances'!CJ2","Minimum period of time before employees can withdraw free shares")</f>
        <v>Minimum period of time before employees can withdraw free shares</v>
      </c>
      <c r="U88" s="67" t="str">
        <f>HYPERLINK("#'Transportation Policy'!CJ1","Q12.48_5_TEXT")</f>
        <v>Q12.48_5_TEXT</v>
      </c>
      <c r="V88" s="68" t="str">
        <f>HYPERLINK("#'Transportation Policy'!CJ2","Other employees eligible for a personal car and driver")</f>
        <v>Other employees eligible for a personal car and driver</v>
      </c>
    </row>
    <row r="89" spans="1:22" ht="26.25" thickBot="1" x14ac:dyDescent="0.25">
      <c r="A89" s="59" t="str">
        <f>HYPERLINK("#'Private Medical Insurance'!CK1","Q2.71")</f>
        <v>Q2.71</v>
      </c>
      <c r="B89" s="60" t="str">
        <f>HYPERLINK("#'Private Medical Insurance'!CK2","Description of the medical plan for which only executives are eligible to participate")</f>
        <v>Description of the medical plan for which only executives are eligible to participate</v>
      </c>
      <c r="E89" s="67" t="str">
        <f>HYPERLINK("#'Life,Accident,Critical Illness'!CK1","Q4.79")</f>
        <v>Q4.79</v>
      </c>
      <c r="F89" s="68" t="str">
        <f>HYPERLINK("#'Life,Accident,Critical Illness'!CK2","Multiple of earnings upon which the benefit is determined")</f>
        <v>Multiple of earnings upon which the benefit is determined</v>
      </c>
      <c r="O89" s="67" t="str">
        <f>HYPERLINK("#'Leaves'!CK1","Q9.89")</f>
        <v>Q9.89</v>
      </c>
      <c r="P89" s="68" t="str">
        <f>HYPERLINK("#'Leaves'!CK2","How bereavement/funeral leave is paid")</f>
        <v>How bereavement/funeral leave is paid</v>
      </c>
      <c r="S89" s="67" t="str">
        <f>HYPERLINK("#'Perks &amp; Allowances'!CK1","Q11.71_4_TEXT")</f>
        <v>Q11.71_4_TEXT</v>
      </c>
      <c r="T89" s="68" t="str">
        <f>HYPERLINK("#'Perks &amp; Allowances'!CK2","Other minimum period of time before employees can withdraw free shares")</f>
        <v>Other minimum period of time before employees can withdraw free shares</v>
      </c>
      <c r="U89" s="67" t="str">
        <f>HYPERLINK("#'Transportation Policy'!CK1","Q12.49")</f>
        <v>Q12.49</v>
      </c>
      <c r="V89" s="68" t="str">
        <f>HYPERLINK("#'Transportation Policy'!CK2","Reasons for providing employees with a personal car and driver")</f>
        <v>Reasons for providing employees with a personal car and driver</v>
      </c>
    </row>
    <row r="90" spans="1:22" ht="25.5" x14ac:dyDescent="0.2">
      <c r="E90" s="67" t="str">
        <f>HYPERLINK("#'Life,Accident,Critical Illness'!CL1","Q4.80")</f>
        <v>Q4.80</v>
      </c>
      <c r="F90" s="68" t="str">
        <f>HYPERLINK("#'Life,Accident,Critical Illness'!CL2","Percentage of earnings provided")</f>
        <v>Percentage of earnings provided</v>
      </c>
      <c r="O90" s="67" t="str">
        <f>HYPERLINK("#'Leaves'!CL1","Q9.90")</f>
        <v>Q9.90</v>
      </c>
      <c r="P90" s="68" t="str">
        <f>HYPERLINK("#'Leaves'!CL2","Employees eligible to participate in the bereavement/funeral leave plan")</f>
        <v>Employees eligible to participate in the bereavement/funeral leave plan</v>
      </c>
      <c r="S90" s="67" t="str">
        <f>HYPERLINK("#'Perks &amp; Allowances'!CL1","Q11.72")</f>
        <v>Q11.72</v>
      </c>
      <c r="T90" s="68" t="str">
        <f>HYPERLINK("#'Perks &amp; Allowances'!CL2","Annual maximum benefit in GBP, if any, for the employee share plan")</f>
        <v>Annual maximum benefit in GBP, if any, for the employee share plan</v>
      </c>
      <c r="U90" s="67" t="str">
        <f>HYPERLINK("#'Transportation Policy'!CL1","Q12.49_7_TEXT")</f>
        <v>Q12.49_7_TEXT</v>
      </c>
      <c r="V90" s="68" t="str">
        <f>HYPERLINK("#'Transportation Policy'!CL2","Other reasons why the company provides employees with a personal car and driver")</f>
        <v>Other reasons why the company provides employees with a personal car and driver</v>
      </c>
    </row>
    <row r="91" spans="1:22" ht="25.5" x14ac:dyDescent="0.2">
      <c r="E91" s="67" t="str">
        <f>HYPERLINK("#'Life,Accident,Critical Illness'!CM1","Q4.81")</f>
        <v>Q4.81</v>
      </c>
      <c r="F91" s="68" t="str">
        <f>HYPERLINK("#'Life,Accident,Critical Illness'!CM2","Other formula used to determine the amount of the benefit")</f>
        <v>Other formula used to determine the amount of the benefit</v>
      </c>
      <c r="O91" s="67" t="str">
        <f>HYPERLINK("#'Leaves'!CM1","Q9.90_8_TEXT")</f>
        <v>Q9.90_8_TEXT</v>
      </c>
      <c r="P91" s="68" t="str">
        <f>HYPERLINK("#'Leaves'!CM2","Other employees eligible to participate in the bereavement/funeral leave plan")</f>
        <v>Other employees eligible to participate in the bereavement/funeral leave plan</v>
      </c>
      <c r="S91" s="67" t="str">
        <f>HYPERLINK("#'Perks &amp; Allowances'!CM1","Q11.73")</f>
        <v>Q11.73</v>
      </c>
      <c r="T91" s="68" t="str">
        <f>HYPERLINK("#'Perks &amp; Allowances'!CM2","Service awards policy")</f>
        <v>Service awards policy</v>
      </c>
      <c r="U91" s="67" t="str">
        <f>HYPERLINK("#'Transportation Policy'!CM1","Q12.50")</f>
        <v>Q12.50</v>
      </c>
      <c r="V91" s="68" t="str">
        <f>HYPERLINK("#'Transportation Policy'!CM2","Limitations placed on an employee's use of a personal car and driver")</f>
        <v>Limitations placed on an employee's use of a personal car and driver</v>
      </c>
    </row>
    <row r="92" spans="1:22" ht="25.5" x14ac:dyDescent="0.2">
      <c r="E92" s="67" t="str">
        <f>HYPERLINK("#'Life,Accident,Critical Illness'!CN1","Q4.82")</f>
        <v>Q4.82</v>
      </c>
      <c r="F92" s="68" t="str">
        <f>HYPERLINK("#'Life,Accident,Critical Illness'!CN2","Maximum critical illness benefit amount in GBP")</f>
        <v>Maximum critical illness benefit amount in GBP</v>
      </c>
      <c r="O92" s="67" t="str">
        <f>HYPERLINK("#'Leaves'!CN1","Q9.91")</f>
        <v>Q9.91</v>
      </c>
      <c r="P92" s="68" t="str">
        <f>HYPERLINK("#'Leaves'!CN2","Bereavement/funeral leave requires proof")</f>
        <v>Bereavement/funeral leave requires proof</v>
      </c>
      <c r="S92" s="67" t="str">
        <f>HYPERLINK("#'Perks &amp; Allowances'!CN1","Q11.74")</f>
        <v>Q11.74</v>
      </c>
      <c r="T92" s="68" t="str">
        <f>HYPERLINK("#'Perks &amp; Allowances'!CN2","Employees eligible to participate in the service awards program")</f>
        <v>Employees eligible to participate in the service awards program</v>
      </c>
      <c r="U92" s="67" t="str">
        <f>HYPERLINK("#'Transportation Policy'!CN1","Q12.50_4_TEXT")</f>
        <v>Q12.50_4_TEXT</v>
      </c>
      <c r="V92" s="68" t="str">
        <f>HYPERLINK("#'Transportation Policy'!CN2","Other limitations placed on an employee's use of a personal car and driver")</f>
        <v>Other limitations placed on an employee's use of a personal car and driver</v>
      </c>
    </row>
    <row r="93" spans="1:22" ht="38.25" x14ac:dyDescent="0.2">
      <c r="E93" s="67" t="str">
        <f>HYPERLINK("#'Life,Accident,Critical Illness'!CO1","Q4.83")</f>
        <v>Q4.83</v>
      </c>
      <c r="F93" s="68" t="str">
        <f>HYPERLINK("#'Life,Accident,Critical Illness'!CO2","Payer of the premium")</f>
        <v>Payer of the premium</v>
      </c>
      <c r="O93" s="67" t="str">
        <f>HYPERLINK("#'Leaves'!CO1","Q9.92")</f>
        <v>Q9.92</v>
      </c>
      <c r="P93" s="68" t="str">
        <f>HYPERLINK("#'Leaves'!CO2","Number of days required before new employees are eligible for bereavement/funeral leave")</f>
        <v>Number of days required before new employees are eligible for bereavement/funeral leave</v>
      </c>
      <c r="S93" s="67" t="str">
        <f>HYPERLINK("#'Perks &amp; Allowances'!CO1","Q11.74_8_TEXT")</f>
        <v>Q11.74_8_TEXT</v>
      </c>
      <c r="T93" s="68" t="str">
        <f>HYPERLINK("#'Perks &amp; Allowances'!CO2","Other employees eligible to participate in the service awards program")</f>
        <v>Other employees eligible to participate in the service awards program</v>
      </c>
      <c r="U93" s="67" t="str">
        <f>HYPERLINK("#'Transportation Policy'!CO1","Q12.52")</f>
        <v>Q12.52</v>
      </c>
      <c r="V93" s="68" t="str">
        <f>HYPERLINK("#'Transportation Policy'!CO2","Provide regular prearranged employee transportation to and from the office (i.e., prearranged daily taxi or shuttle service)")</f>
        <v>Provide regular prearranged employee transportation to and from the office (i.e., prearranged daily taxi or shuttle service)</v>
      </c>
    </row>
    <row r="94" spans="1:22" ht="38.25" x14ac:dyDescent="0.2">
      <c r="E94" s="67" t="str">
        <f>HYPERLINK("#'Life,Accident,Critical Illness'!CP1","Q4.84")</f>
        <v>Q4.84</v>
      </c>
      <c r="F94" s="68" t="str">
        <f>HYPERLINK("#'Life,Accident,Critical Illness'!CP2","Method of employee cost sharing")</f>
        <v>Method of employee cost sharing</v>
      </c>
      <c r="O94" s="67" t="str">
        <f>HYPERLINK("#'Leaves'!CP1","Q9.93")</f>
        <v>Q9.93</v>
      </c>
      <c r="P94" s="68" t="str">
        <f>HYPERLINK("#'Leaves'!CP2","Relationships that qualify for bereavement leave")</f>
        <v>Relationships that qualify for bereavement leave</v>
      </c>
      <c r="S94" s="67" t="str">
        <f>HYPERLINK("#'Perks &amp; Allowances'!CP1","Q11.75")</f>
        <v>Q11.75</v>
      </c>
      <c r="T94" s="68" t="str">
        <f>HYPERLINK("#'Perks &amp; Allowances'!CP2","Increments used to denote milestones for service awards")</f>
        <v>Increments used to denote milestones for service awards</v>
      </c>
      <c r="U94" s="67" t="str">
        <f>HYPERLINK("#'Transportation Policy'!CP1","Q12.53")</f>
        <v>Q12.53</v>
      </c>
      <c r="V94" s="68" t="str">
        <f>HYPERLINK("#'Transportation Policy'!CP2","Company-provided transportation is a shared service among employees (e.g., one taxi may transport several employees)")</f>
        <v>Company-provided transportation is a shared service among employees (e.g., one taxi may transport several employees)</v>
      </c>
    </row>
    <row r="95" spans="1:22" ht="25.5" x14ac:dyDescent="0.2">
      <c r="E95" s="67" t="str">
        <f>HYPERLINK("#'Life,Accident,Critical Illness'!CQ1","Q4.85")</f>
        <v>Q4.85</v>
      </c>
      <c r="F95" s="68" t="str">
        <f>HYPERLINK("#'Life,Accident,Critical Illness'!CQ2","Flat amount the employee is required to pay in GBP")</f>
        <v>Flat amount the employee is required to pay in GBP</v>
      </c>
      <c r="O95" s="67" t="str">
        <f>HYPERLINK("#'Leaves'!CQ1","Q9.93_17_TEXT")</f>
        <v>Q9.93_17_TEXT</v>
      </c>
      <c r="P95" s="68" t="str">
        <f>HYPERLINK("#'Leaves'!CQ2","Other relationships that qualify for bereavement leave")</f>
        <v>Other relationships that qualify for bereavement leave</v>
      </c>
      <c r="S95" s="67" t="str">
        <f>HYPERLINK("#'Perks &amp; Allowances'!CQ1","Q11.76")</f>
        <v>Q11.76</v>
      </c>
      <c r="T95" s="68" t="str">
        <f>HYPERLINK("#'Perks &amp; Allowances'!CQ2","Annual maximum benefit in GBP, if any, for the service awards program")</f>
        <v>Annual maximum benefit in GBP, if any, for the service awards program</v>
      </c>
      <c r="U95" s="67" t="str">
        <f>HYPERLINK("#'Transportation Policy'!CQ1","Q12.54")</f>
        <v>Q12.54</v>
      </c>
      <c r="V95" s="68" t="str">
        <f>HYPERLINK("#'Transportation Policy'!CQ2","Reasons for providing regular prearranged employee transportation to and from the office")</f>
        <v>Reasons for providing regular prearranged employee transportation to and from the office</v>
      </c>
    </row>
    <row r="96" spans="1:22" ht="38.25" x14ac:dyDescent="0.2">
      <c r="E96" s="67" t="str">
        <f>HYPERLINK("#'Life,Accident,Critical Illness'!CR1","Q4.86")</f>
        <v>Q4.86</v>
      </c>
      <c r="F96" s="68" t="str">
        <f>HYPERLINK("#'Life,Accident,Critical Illness'!CR2","Flat amount of the company contribution in GBP")</f>
        <v>Flat amount of the company contribution in GBP</v>
      </c>
      <c r="O96" s="67" t="str">
        <f>HYPERLINK("#'Leaves'!CR1","Q9.94")</f>
        <v>Q9.94</v>
      </c>
      <c r="P96" s="68" t="str">
        <f>HYPERLINK("#'Leaves'!CR2","Employees receive the same amount of bereavement leave regardless of relationship ")</f>
        <v xml:space="preserve">Employees receive the same amount of bereavement leave regardless of relationship </v>
      </c>
      <c r="S96" s="67" t="str">
        <f>HYPERLINK("#'Perks &amp; Allowances'!CR1","Q11.77")</f>
        <v>Q11.77</v>
      </c>
      <c r="T96" s="68" t="str">
        <f>HYPERLINK("#'Perks &amp; Allowances'!CR2","Wireless device subsidy policy")</f>
        <v>Wireless device subsidy policy</v>
      </c>
      <c r="U96" s="67" t="str">
        <f>HYPERLINK("#'Transportation Policy'!CR1","Q12.54_6_TEXT")</f>
        <v>Q12.54_6_TEXT</v>
      </c>
      <c r="V96" s="68" t="str">
        <f>HYPERLINK("#'Transportation Policy'!CR2","Other reasons for providing regular prearranged employee transportation to and from the office")</f>
        <v>Other reasons for providing regular prearranged employee transportation to and from the office</v>
      </c>
    </row>
    <row r="97" spans="5:22" ht="25.5" x14ac:dyDescent="0.2">
      <c r="E97" s="67" t="str">
        <f>HYPERLINK("#'Life,Accident,Critical Illness'!CS1","Q4.87")</f>
        <v>Q4.87</v>
      </c>
      <c r="F97" s="68" t="str">
        <f>HYPERLINK("#'Life,Accident,Critical Illness'!CS2","Percentage the employee is required to pay")</f>
        <v>Percentage the employee is required to pay</v>
      </c>
      <c r="O97" s="67" t="str">
        <f>HYPERLINK("#'Leaves'!CS1","Q9.95")</f>
        <v>Q9.95</v>
      </c>
      <c r="P97" s="68" t="str">
        <f>HYPERLINK("#'Leaves'!CS2","Number of days an employee is entitled to for bereavement leave")</f>
        <v>Number of days an employee is entitled to for bereavement leave</v>
      </c>
      <c r="S97" s="67" t="str">
        <f>HYPERLINK("#'Perks &amp; Allowances'!CS1","Q11.78")</f>
        <v>Q11.78</v>
      </c>
      <c r="T97" s="68" t="str">
        <f>HYPERLINK("#'Perks &amp; Allowances'!CS2","Employees eligible to participate in the wireless device subsidy program")</f>
        <v>Employees eligible to participate in the wireless device subsidy program</v>
      </c>
      <c r="U97" s="67" t="str">
        <f>HYPERLINK("#'Transportation Policy'!CS1","Q12.56")</f>
        <v>Q12.56</v>
      </c>
      <c r="V97" s="68" t="str">
        <f>HYPERLINK("#'Transportation Policy'!CS2","Subsidize the cost of parking for any employees (or provides free parking)")</f>
        <v>Subsidize the cost of parking for any employees (or provides free parking)</v>
      </c>
    </row>
    <row r="98" spans="5:22" ht="25.5" x14ac:dyDescent="0.2">
      <c r="E98" s="67" t="str">
        <f>HYPERLINK("#'Life,Accident,Critical Illness'!CT1","Q4.88")</f>
        <v>Q4.88</v>
      </c>
      <c r="F98" s="68" t="str">
        <f>HYPERLINK("#'Life,Accident,Critical Illness'!CT2","How cost sharing is determined")</f>
        <v>How cost sharing is determined</v>
      </c>
      <c r="O98" s="67" t="str">
        <f>HYPERLINK("#'Leaves'!CT1","Q9.96_1")</f>
        <v>Q9.96_1</v>
      </c>
      <c r="P98" s="68" t="str">
        <f>HYPERLINK("#'Leaves'!CT2","Maximum bereavement leave - Spouse")</f>
        <v>Maximum bereavement leave - Spouse</v>
      </c>
      <c r="S98" s="67" t="str">
        <f>HYPERLINK("#'Perks &amp; Allowances'!CT1","Q11.78_8_TEXT")</f>
        <v>Q11.78_8_TEXT</v>
      </c>
      <c r="T98" s="68" t="str">
        <f>HYPERLINK("#'Perks &amp; Allowances'!CT2","Other employees eligible to participate in the wireless device subsidy program")</f>
        <v>Other employees eligible to participate in the wireless device subsidy program</v>
      </c>
      <c r="U98" s="67" t="str">
        <f>HYPERLINK("#'Transportation Policy'!CT1","Q12.57")</f>
        <v>Q12.57</v>
      </c>
      <c r="V98" s="68" t="str">
        <f>HYPERLINK("#'Transportation Policy'!CT2","Employees eligible for subsidized or free parking")</f>
        <v>Employees eligible for subsidized or free parking</v>
      </c>
    </row>
    <row r="99" spans="5:22" ht="38.25" x14ac:dyDescent="0.2">
      <c r="E99" s="67" t="str">
        <f>HYPERLINK("#'Life,Accident,Critical Illness'!CU1","Q4.89")</f>
        <v>Q4.89</v>
      </c>
      <c r="F99" s="68" t="str">
        <f>HYPERLINK("#'Life,Accident,Critical Illness'!CU2","Have a critical illness plan for which only executives are eligible to participate")</f>
        <v>Have a critical illness plan for which only executives are eligible to participate</v>
      </c>
      <c r="O99" s="67" t="str">
        <f>HYPERLINK("#'Leaves'!CU1","Q9.96_2")</f>
        <v>Q9.96_2</v>
      </c>
      <c r="P99" s="68" t="str">
        <f>HYPERLINK("#'Leaves'!CU2","Maximum bereavement leave - Domestic partner")</f>
        <v>Maximum bereavement leave - Domestic partner</v>
      </c>
      <c r="S99" s="67" t="str">
        <f>HYPERLINK("#'Perks &amp; Allowances'!CU1","Q11.79")</f>
        <v>Q11.79</v>
      </c>
      <c r="T99" s="68" t="str">
        <f>HYPERLINK("#'Perks &amp; Allowances'!CU2","Number of days required before new employees are eligible for the wireless device subsidy program")</f>
        <v>Number of days required before new employees are eligible for the wireless device subsidy program</v>
      </c>
      <c r="U99" s="67" t="str">
        <f>HYPERLINK("#'Transportation Policy'!CU1","Q12.57_6_TEXT")</f>
        <v>Q12.57_6_TEXT</v>
      </c>
      <c r="V99" s="68" t="str">
        <f>HYPERLINK("#'Transportation Policy'!CU2","Other employees provided with subsidized or free parking")</f>
        <v>Other employees provided with subsidized or free parking</v>
      </c>
    </row>
    <row r="100" spans="5:22" ht="25.5" x14ac:dyDescent="0.2">
      <c r="E100" s="67" t="str">
        <f>HYPERLINK("#'Life,Accident,Critical Illness'!CV1","Q4.90")</f>
        <v>Q4.90</v>
      </c>
      <c r="F100" s="68" t="str">
        <f>HYPERLINK("#'Life,Accident,Critical Illness'!CV2","Description of the critical illness plan for which only executives are eligible to participate")</f>
        <v>Description of the critical illness plan for which only executives are eligible to participate</v>
      </c>
      <c r="O100" s="67" t="str">
        <f>HYPERLINK("#'Leaves'!CV1","Q9.96_3")</f>
        <v>Q9.96_3</v>
      </c>
      <c r="P100" s="68" t="str">
        <f>HYPERLINK("#'Leaves'!CV2","Maximum bereavement leave - Child(ren)")</f>
        <v>Maximum bereavement leave - Child(ren)</v>
      </c>
      <c r="S100" s="67" t="str">
        <f>HYPERLINK("#'Perks &amp; Allowances'!CV1","Q11.80")</f>
        <v>Q11.80</v>
      </c>
      <c r="T100" s="68" t="str">
        <f>HYPERLINK("#'Perks &amp; Allowances'!CV2","Annual maximum benefit in GBP, if any, for the wireless device subsidy program")</f>
        <v>Annual maximum benefit in GBP, if any, for the wireless device subsidy program</v>
      </c>
      <c r="U100" s="67" t="str">
        <f>HYPERLINK("#'Transportation Policy'!CV1","Q12.58")</f>
        <v>Q12.58</v>
      </c>
      <c r="V100" s="68" t="str">
        <f>HYPERLINK("#'Transportation Policy'!CV2","Cost of parking is fully covered by the company")</f>
        <v>Cost of parking is fully covered by the company</v>
      </c>
    </row>
    <row r="101" spans="5:22" ht="26.25" thickBot="1" x14ac:dyDescent="0.25">
      <c r="E101" s="69" t="str">
        <f>HYPERLINK("#'Life,Accident,Critical Illness'!CW1","Q4.91")</f>
        <v>Q4.91</v>
      </c>
      <c r="F101" s="70" t="str">
        <f>HYPERLINK("#'Life,Accident,Critical Illness'!CW2","Vendor for the most prevalent critical illness plan")</f>
        <v>Vendor for the most prevalent critical illness plan</v>
      </c>
      <c r="O101" s="67" t="str">
        <f>HYPERLINK("#'Leaves'!CW1","Q9.96_4")</f>
        <v>Q9.96_4</v>
      </c>
      <c r="P101" s="68" t="str">
        <f>HYPERLINK("#'Leaves'!CW2","Maximum bereavement leave - Step children")</f>
        <v>Maximum bereavement leave - Step children</v>
      </c>
      <c r="S101" s="67" t="str">
        <f>HYPERLINK("#'Perks &amp; Allowances'!CW1","Q11.81")</f>
        <v>Q11.81</v>
      </c>
      <c r="T101" s="68" t="str">
        <f>HYPERLINK("#'Perks &amp; Allowances'!CW2","Internet subsidy policy")</f>
        <v>Internet subsidy policy</v>
      </c>
      <c r="U101" s="67" t="str">
        <f>HYPERLINK("#'Transportation Policy'!CW1","Q12.60")</f>
        <v>Q12.60</v>
      </c>
      <c r="V101" s="68" t="str">
        <f>HYPERLINK("#'Transportation Policy'!CW2","Subsidize the cost of public transportation for any employees")</f>
        <v>Subsidize the cost of public transportation for any employees</v>
      </c>
    </row>
    <row r="102" spans="5:22" ht="25.5" x14ac:dyDescent="0.2">
      <c r="O102" s="67" t="str">
        <f>HYPERLINK("#'Leaves'!CX1","Q9.96_5")</f>
        <v>Q9.96_5</v>
      </c>
      <c r="P102" s="68" t="str">
        <f>HYPERLINK("#'Leaves'!CX2","Maximum bereavement leave - Foster children")</f>
        <v>Maximum bereavement leave - Foster children</v>
      </c>
      <c r="S102" s="67" t="str">
        <f>HYPERLINK("#'Perks &amp; Allowances'!CX1","Q11.82")</f>
        <v>Q11.82</v>
      </c>
      <c r="T102" s="68" t="str">
        <f>HYPERLINK("#'Perks &amp; Allowances'!CX2","Employees eligible to participate in the internet subsidy program")</f>
        <v>Employees eligible to participate in the internet subsidy program</v>
      </c>
      <c r="U102" s="67" t="str">
        <f>HYPERLINK("#'Transportation Policy'!CX1","Q12.61")</f>
        <v>Q12.61</v>
      </c>
      <c r="V102" s="68" t="str">
        <f>HYPERLINK("#'Transportation Policy'!CX2","Employees eligible for a public transportation subsidy or benefit")</f>
        <v>Employees eligible for a public transportation subsidy or benefit</v>
      </c>
    </row>
    <row r="103" spans="5:22" ht="25.5" x14ac:dyDescent="0.2">
      <c r="O103" s="67" t="str">
        <f>HYPERLINK("#'Leaves'!CY1","Q9.96_6")</f>
        <v>Q9.96_6</v>
      </c>
      <c r="P103" s="68" t="str">
        <f>HYPERLINK("#'Leaves'!CY2","Maximum bereavement leave - Grandchildren")</f>
        <v>Maximum bereavement leave - Grandchildren</v>
      </c>
      <c r="S103" s="67" t="str">
        <f>HYPERLINK("#'Perks &amp; Allowances'!CY1","Q11.82_8_TEXT")</f>
        <v>Q11.82_8_TEXT</v>
      </c>
      <c r="T103" s="68" t="str">
        <f>HYPERLINK("#'Perks &amp; Allowances'!CY2","Other employees eligible to participate in the internet subsidy program")</f>
        <v>Other employees eligible to participate in the internet subsidy program</v>
      </c>
      <c r="U103" s="67" t="str">
        <f>HYPERLINK("#'Transportation Policy'!CY1","Q12.61_6_TEXT")</f>
        <v>Q12.61_6_TEXT</v>
      </c>
      <c r="V103" s="68" t="str">
        <f>HYPERLINK("#'Transportation Policy'!CY2","Other employees provided with a public transportation subsidy or benefit")</f>
        <v>Other employees provided with a public transportation subsidy or benefit</v>
      </c>
    </row>
    <row r="104" spans="5:22" ht="38.25" x14ac:dyDescent="0.2">
      <c r="O104" s="67" t="str">
        <f>HYPERLINK("#'Leaves'!CZ1","Q9.96_7")</f>
        <v>Q9.96_7</v>
      </c>
      <c r="P104" s="68" t="str">
        <f>HYPERLINK("#'Leaves'!CZ2","Maximum bereavement leave - Parent")</f>
        <v>Maximum bereavement leave - Parent</v>
      </c>
      <c r="S104" s="67" t="str">
        <f>HYPERLINK("#'Perks &amp; Allowances'!CZ1","Q11.83")</f>
        <v>Q11.83</v>
      </c>
      <c r="T104" s="68" t="str">
        <f>HYPERLINK("#'Perks &amp; Allowances'!CZ2","Number of days required before new employees are eligible for the internet subsidy program")</f>
        <v>Number of days required before new employees are eligible for the internet subsidy program</v>
      </c>
      <c r="U104" s="67" t="str">
        <f>HYPERLINK("#'Transportation Policy'!CZ1","Q12.62")</f>
        <v>Q12.62</v>
      </c>
      <c r="V104" s="68" t="str">
        <f>HYPERLINK("#'Transportation Policy'!CZ2","Benefit covers 100% of the cost of public transportation for eligible employees")</f>
        <v>Benefit covers 100% of the cost of public transportation for eligible employees</v>
      </c>
    </row>
    <row r="105" spans="5:22" ht="25.5" x14ac:dyDescent="0.2">
      <c r="O105" s="67" t="str">
        <f>HYPERLINK("#'Leaves'!DA1","Q9.96_8")</f>
        <v>Q9.96_8</v>
      </c>
      <c r="P105" s="68" t="str">
        <f>HYPERLINK("#'Leaves'!DA2","Maximum bereavement leave - Parent-in-law")</f>
        <v>Maximum bereavement leave - Parent-in-law</v>
      </c>
      <c r="S105" s="67" t="str">
        <f>HYPERLINK("#'Perks &amp; Allowances'!DA1","Q11.84")</f>
        <v>Q11.84</v>
      </c>
      <c r="T105" s="68" t="str">
        <f>HYPERLINK("#'Perks &amp; Allowances'!DA2","Annual maximum benefit in GBP, if any, for the internet subsidy program")</f>
        <v>Annual maximum benefit in GBP, if any, for the internet subsidy program</v>
      </c>
      <c r="U105" s="67" t="str">
        <f>HYPERLINK("#'Transportation Policy'!DA1","Q12.63")</f>
        <v>Q12.63</v>
      </c>
      <c r="V105" s="68" t="str">
        <f>HYPERLINK("#'Transportation Policy'!DA2","Approach to providing the public transportation subsidy or benefit")</f>
        <v>Approach to providing the public transportation subsidy or benefit</v>
      </c>
    </row>
    <row r="106" spans="5:22" ht="25.5" x14ac:dyDescent="0.2">
      <c r="O106" s="67" t="str">
        <f>HYPERLINK("#'Leaves'!DB1","Q9.96_9")</f>
        <v>Q9.96_9</v>
      </c>
      <c r="P106" s="68" t="str">
        <f>HYPERLINK("#'Leaves'!DB2","Maximum bereavement leave - Grandparent")</f>
        <v>Maximum bereavement leave - Grandparent</v>
      </c>
      <c r="S106" s="67" t="str">
        <f>HYPERLINK("#'Perks &amp; Allowances'!DB1","Q11.85")</f>
        <v>Q11.85</v>
      </c>
      <c r="T106" s="68" t="str">
        <f>HYPERLINK("#'Perks &amp; Allowances'!DB2","Home office benefits policy")</f>
        <v>Home office benefits policy</v>
      </c>
      <c r="U106" s="67" t="str">
        <f>HYPERLINK("#'Transportation Policy'!DB1","Q12.63_4_TEXT")</f>
        <v>Q12.63_4_TEXT</v>
      </c>
      <c r="V106" s="68" t="str">
        <f>HYPERLINK("#'Transportation Policy'!DB2","Other approach to providing the public transportation subsidy or benefit")</f>
        <v>Other approach to providing the public transportation subsidy or benefit</v>
      </c>
    </row>
    <row r="107" spans="5:22" ht="25.5" x14ac:dyDescent="0.2">
      <c r="O107" s="67" t="str">
        <f>HYPERLINK("#'Leaves'!DC1","Q9.96_10")</f>
        <v>Q9.96_10</v>
      </c>
      <c r="P107" s="68" t="str">
        <f>HYPERLINK("#'Leaves'!DC2","Maximum bereavement leave - Grandparent-in-law")</f>
        <v>Maximum bereavement leave - Grandparent-in-law</v>
      </c>
      <c r="S107" s="67" t="str">
        <f>HYPERLINK("#'Perks &amp; Allowances'!DC1","Q11.86")</f>
        <v>Q11.86</v>
      </c>
      <c r="T107" s="68" t="str">
        <f>HYPERLINK("#'Perks &amp; Allowances'!DC2","Employees eligible to participate in the home office benefits program")</f>
        <v>Employees eligible to participate in the home office benefits program</v>
      </c>
      <c r="U107" s="67" t="str">
        <f>HYPERLINK("#'Transportation Policy'!DC1","Q12.65")</f>
        <v>Q12.65</v>
      </c>
      <c r="V107" s="68" t="str">
        <f>HYPERLINK("#'Transportation Policy'!DC2","Employees eligible for a walking or cycling allowance (or related benefit)")</f>
        <v>Employees eligible for a walking or cycling allowance (or related benefit)</v>
      </c>
    </row>
    <row r="108" spans="5:22" ht="25.5" x14ac:dyDescent="0.2">
      <c r="O108" s="67" t="str">
        <f>HYPERLINK("#'Leaves'!DD1","Q9.96_11")</f>
        <v>Q9.96_11</v>
      </c>
      <c r="P108" s="68" t="str">
        <f>HYPERLINK("#'Leaves'!DD2","Maximum bereavement leave - Brother or sister")</f>
        <v>Maximum bereavement leave - Brother or sister</v>
      </c>
      <c r="S108" s="67" t="str">
        <f>HYPERLINK("#'Perks &amp; Allowances'!DD1","Q11.86_8_TEXT")</f>
        <v>Q11.86_8_TEXT</v>
      </c>
      <c r="T108" s="68" t="str">
        <f>HYPERLINK("#'Perks &amp; Allowances'!DD2","Other employees eligible to participate in the home office benefits program")</f>
        <v>Other employees eligible to participate in the home office benefits program</v>
      </c>
      <c r="U108" s="67" t="str">
        <f>HYPERLINK("#'Transportation Policy'!DD1","Q12.65_6_TEXT")</f>
        <v>Q12.65_6_TEXT</v>
      </c>
      <c r="V108" s="68" t="str">
        <f>HYPERLINK("#'Transportation Policy'!DD2","Other employees eligible for a walking or cycling allowance (or related benefit)")</f>
        <v>Other employees eligible for a walking or cycling allowance (or related benefit)</v>
      </c>
    </row>
    <row r="109" spans="5:22" ht="38.25" x14ac:dyDescent="0.2">
      <c r="O109" s="67" t="str">
        <f>HYPERLINK("#'Leaves'!DE1","Q9.96_12")</f>
        <v>Q9.96_12</v>
      </c>
      <c r="P109" s="68" t="str">
        <f>HYPERLINK("#'Leaves'!DE2","Maximum bereavement leave - Brother or sister-in-law")</f>
        <v>Maximum bereavement leave - Brother or sister-in-law</v>
      </c>
      <c r="S109" s="67" t="str">
        <f>HYPERLINK("#'Perks &amp; Allowances'!DE1","Q11.87")</f>
        <v>Q11.87</v>
      </c>
      <c r="T109" s="68" t="str">
        <f>HYPERLINK("#'Perks &amp; Allowances'!DE2","Number of days required before new employees are eligible for the home office benefits program")</f>
        <v>Number of days required before new employees are eligible for the home office benefits program</v>
      </c>
      <c r="U109" s="67" t="str">
        <f>HYPERLINK("#'Transportation Policy'!DE1","Q12.66")</f>
        <v>Q12.66</v>
      </c>
      <c r="V109" s="68" t="str">
        <f>HYPERLINK("#'Transportation Policy'!DE2","Method for determining the amount of the allowance (or related benefit)")</f>
        <v>Method for determining the amount of the allowance (or related benefit)</v>
      </c>
    </row>
    <row r="110" spans="5:22" ht="25.5" x14ac:dyDescent="0.2">
      <c r="O110" s="67" t="str">
        <f>HYPERLINK("#'Leaves'!DF1","Q9.96_13")</f>
        <v>Q9.96_13</v>
      </c>
      <c r="P110" s="68" t="str">
        <f>HYPERLINK("#'Leaves'!DF2","Maximum bereavement leave - Niece or nephew")</f>
        <v>Maximum bereavement leave - Niece or nephew</v>
      </c>
      <c r="S110" s="67" t="str">
        <f>HYPERLINK("#'Perks &amp; Allowances'!DF1","Q11.88")</f>
        <v>Q11.88</v>
      </c>
      <c r="T110" s="68" t="str">
        <f>HYPERLINK("#'Perks &amp; Allowances'!DF2","Annual maximum benefit in GBP, if any, for the home office benefits program")</f>
        <v>Annual maximum benefit in GBP, if any, for the home office benefits program</v>
      </c>
      <c r="U110" s="67" t="str">
        <f>HYPERLINK("#'Transportation Policy'!DF1","Q12.66_5_TEXT")</f>
        <v>Q12.66_5_TEXT</v>
      </c>
      <c r="V110" s="68" t="str">
        <f>HYPERLINK("#'Transportation Policy'!DF2","Other method for determining the amount of the allowance (or related benefit)")</f>
        <v>Other method for determining the amount of the allowance (or related benefit)</v>
      </c>
    </row>
    <row r="111" spans="5:22" ht="25.5" x14ac:dyDescent="0.2">
      <c r="O111" s="67" t="str">
        <f>HYPERLINK("#'Leaves'!DG1","Q9.96_14")</f>
        <v>Q9.96_14</v>
      </c>
      <c r="P111" s="68" t="str">
        <f>HYPERLINK("#'Leaves'!DG2","Maximum bereavement leave - Uncle or aunt")</f>
        <v>Maximum bereavement leave - Uncle or aunt</v>
      </c>
      <c r="S111" s="67" t="str">
        <f>HYPERLINK("#'Perks &amp; Allowances'!DG1","Q11.89")</f>
        <v>Q11.89</v>
      </c>
      <c r="T111" s="68" t="str">
        <f>HYPERLINK("#'Perks &amp; Allowances'!DG2","Other offering to remote workers policy")</f>
        <v>Other offering to remote workers policy</v>
      </c>
      <c r="U111" s="67" t="str">
        <f>HYPERLINK("#'Transportation Policy'!DG1","Q12.68")</f>
        <v>Q12.68</v>
      </c>
      <c r="V111" s="68" t="str">
        <f>HYPERLINK("#'Transportation Policy'!DG2","Have other transportation benefits only executives are eligible to participate in")</f>
        <v>Have other transportation benefits only executives are eligible to participate in</v>
      </c>
    </row>
    <row r="112" spans="5:22" ht="39" thickBot="1" x14ac:dyDescent="0.25">
      <c r="O112" s="67" t="str">
        <f>HYPERLINK("#'Leaves'!DH1","Q9.96_15")</f>
        <v>Q9.96_15</v>
      </c>
      <c r="P112" s="68" t="str">
        <f>HYPERLINK("#'Leaves'!DH2","Maximum bereavement leave - Cousin")</f>
        <v>Maximum bereavement leave - Cousin</v>
      </c>
      <c r="S112" s="67" t="str">
        <f>HYPERLINK("#'Perks &amp; Allowances'!DH1","Q11.90")</f>
        <v>Q11.90</v>
      </c>
      <c r="T112" s="68" t="str">
        <f>HYPERLINK("#'Perks &amp; Allowances'!DH2","Employees eligible to participate in the other offering to remote workers program")</f>
        <v>Employees eligible to participate in the other offering to remote workers program</v>
      </c>
      <c r="U112" s="69" t="str">
        <f>HYPERLINK("#'Transportation Policy'!DH1","Q12.69")</f>
        <v>Q12.69</v>
      </c>
      <c r="V112" s="70" t="str">
        <f>HYPERLINK("#'Transportation Policy'!DH2","Description of the other transportation benefits for which only executives are eligible to participate")</f>
        <v>Description of the other transportation benefits for which only executives are eligible to participate</v>
      </c>
    </row>
    <row r="113" spans="15:20" ht="25.5" x14ac:dyDescent="0.2">
      <c r="O113" s="67" t="str">
        <f>HYPERLINK("#'Leaves'!DI1","Q9.96_16")</f>
        <v>Q9.96_16</v>
      </c>
      <c r="P113" s="68" t="str">
        <f>HYPERLINK("#'Leaves'!DI2","Maximum bereavement leave - Other member of employee's household (non-relative)")</f>
        <v>Maximum bereavement leave - Other member of employee's household (non-relative)</v>
      </c>
      <c r="S113" s="67" t="str">
        <f>HYPERLINK("#'Perks &amp; Allowances'!DI1","Q11.90_8_TEXT")</f>
        <v>Q11.90_8_TEXT</v>
      </c>
      <c r="T113" s="68" t="str">
        <f>HYPERLINK("#'Perks &amp; Allowances'!DI2","Other employees eligible to participate in the other offering to remote workers program")</f>
        <v>Other employees eligible to participate in the other offering to remote workers program</v>
      </c>
    </row>
    <row r="114" spans="15:20" ht="38.25" x14ac:dyDescent="0.2">
      <c r="O114" s="67" t="str">
        <f>HYPERLINK("#'Leaves'!DJ1","Q9.96_17")</f>
        <v>Q9.96_17</v>
      </c>
      <c r="P114" s="68" t="str">
        <f>HYPERLINK("#'Leaves'!DJ2","Maximum bereavement leave - Other relationship")</f>
        <v>Maximum bereavement leave - Other relationship</v>
      </c>
      <c r="S114" s="67" t="str">
        <f>HYPERLINK("#'Perks &amp; Allowances'!DJ1","Q11.91")</f>
        <v>Q11.91</v>
      </c>
      <c r="T114" s="68" t="str">
        <f>HYPERLINK("#'Perks &amp; Allowances'!DJ2","Number of days required before new employees are eligible for the other offering to remote workers program")</f>
        <v>Number of days required before new employees are eligible for the other offering to remote workers program</v>
      </c>
    </row>
    <row r="115" spans="15:20" ht="25.5" x14ac:dyDescent="0.2">
      <c r="O115" s="67" t="str">
        <f>HYPERLINK("#'Leaves'!DK1","Q9.96_17_TEXT")</f>
        <v>Q9.96_17_TEXT</v>
      </c>
      <c r="P115" s="68" t="str">
        <f>HYPERLINK("#'Leaves'!DK2","Other relationships that qualify for bereavement leave")</f>
        <v>Other relationships that qualify for bereavement leave</v>
      </c>
      <c r="S115" s="67" t="str">
        <f>HYPERLINK("#'Perks &amp; Allowances'!DK1","Q11.92")</f>
        <v>Q11.92</v>
      </c>
      <c r="T115" s="68" t="str">
        <f>HYPERLINK("#'Perks &amp; Allowances'!DK2","Annual maximum benefit in GBP, if any, for the other offering to remote workers program")</f>
        <v>Annual maximum benefit in GBP, if any, for the other offering to remote workers program</v>
      </c>
    </row>
    <row r="116" spans="15:20" ht="25.5" x14ac:dyDescent="0.2">
      <c r="O116" s="67" t="str">
        <f>HYPERLINK("#'Leaves'!DL1","Q9.97")</f>
        <v>Q9.97</v>
      </c>
      <c r="P116" s="68" t="str">
        <f>HYPERLINK("#'Leaves'!DL2","Offer additional time off if extensive travel is required (e.g., flight, different country, etc.)")</f>
        <v>Offer additional time off if extensive travel is required (e.g., flight, different country, etc.)</v>
      </c>
      <c r="S116" s="67" t="str">
        <f>HYPERLINK("#'Perks &amp; Allowances'!DL1","Q11.93")</f>
        <v>Q11.93</v>
      </c>
      <c r="T116" s="68" t="str">
        <f>HYPERLINK("#'Perks &amp; Allowances'!DL2","Other policy")</f>
        <v>Other policy</v>
      </c>
    </row>
    <row r="117" spans="15:20" ht="25.5" x14ac:dyDescent="0.2">
      <c r="O117" s="67" t="str">
        <f>HYPERLINK("#'Leaves'!DM1","Q9.98")</f>
        <v>Q9.98</v>
      </c>
      <c r="P117" s="68" t="str">
        <f>HYPERLINK("#'Leaves'!DM2","Number of additional days offered in this case")</f>
        <v>Number of additional days offered in this case</v>
      </c>
      <c r="S117" s="67" t="str">
        <f>HYPERLINK("#'Perks &amp; Allowances'!DM1","Q11.94")</f>
        <v>Q11.94</v>
      </c>
      <c r="T117" s="68" t="str">
        <f>HYPERLINK("#'Perks &amp; Allowances'!DM2","Employees eligible to participate in the other program")</f>
        <v>Employees eligible to participate in the other program</v>
      </c>
    </row>
    <row r="118" spans="15:20" ht="25.5" x14ac:dyDescent="0.2">
      <c r="O118" s="67" t="str">
        <f>HYPERLINK("#'Leaves'!DN1","Q9.100")</f>
        <v>Q9.100</v>
      </c>
      <c r="P118" s="68" t="str">
        <f>HYPERLINK("#'Leaves'!DN2","Approach to leave travel allowance or bonus leave")</f>
        <v>Approach to leave travel allowance or bonus leave</v>
      </c>
      <c r="S118" s="67" t="str">
        <f>HYPERLINK("#'Perks &amp; Allowances'!DN1","Q11.94_8_TEXT")</f>
        <v>Q11.94_8_TEXT</v>
      </c>
      <c r="T118" s="68" t="str">
        <f>HYPERLINK("#'Perks &amp; Allowances'!DN2","Other employees eligible to participate in the other program")</f>
        <v>Other employees eligible to participate in the other program</v>
      </c>
    </row>
    <row r="119" spans="15:20" ht="25.5" x14ac:dyDescent="0.2">
      <c r="O119" s="67" t="str">
        <f>HYPERLINK("#'Leaves'!DO1","Q9.101")</f>
        <v>Q9.101</v>
      </c>
      <c r="P119" s="68" t="str">
        <f>HYPERLINK("#'Leaves'!DO2","How leave travel allowance or bonus leave is paid")</f>
        <v>How leave travel allowance or bonus leave is paid</v>
      </c>
      <c r="S119" s="67" t="str">
        <f>HYPERLINK("#'Perks &amp; Allowances'!DO1","Q11.95")</f>
        <v>Q11.95</v>
      </c>
      <c r="T119" s="68" t="str">
        <f>HYPERLINK("#'Perks &amp; Allowances'!DO2","Number of days required before new employees are eligible for the other program")</f>
        <v>Number of days required before new employees are eligible for the other program</v>
      </c>
    </row>
    <row r="120" spans="15:20" ht="25.5" x14ac:dyDescent="0.2">
      <c r="O120" s="67" t="str">
        <f>HYPERLINK("#'Leaves'!DP1","Q9.102")</f>
        <v>Q9.102</v>
      </c>
      <c r="P120" s="68" t="str">
        <f>HYPERLINK("#'Leaves'!DP2","Employees eligible to participate in the leave travel allowance or bonus leave plan")</f>
        <v>Employees eligible to participate in the leave travel allowance or bonus leave plan</v>
      </c>
      <c r="S120" s="67" t="str">
        <f>HYPERLINK("#'Perks &amp; Allowances'!DP1","Q11.96")</f>
        <v>Q11.96</v>
      </c>
      <c r="T120" s="68" t="str">
        <f>HYPERLINK("#'Perks &amp; Allowances'!DP2","Annual maximum benefit in GBP, if any, for the other program")</f>
        <v>Annual maximum benefit in GBP, if any, for the other program</v>
      </c>
    </row>
    <row r="121" spans="15:20" ht="25.5" x14ac:dyDescent="0.2">
      <c r="O121" s="67" t="str">
        <f>HYPERLINK("#'Leaves'!DQ1","Q9.102_8_TEXT")</f>
        <v>Q9.102_8_TEXT</v>
      </c>
      <c r="P121" s="68" t="str">
        <f>HYPERLINK("#'Leaves'!DQ2","Other employees eligible to participate in the leave travel allowance or bonus leave plan")</f>
        <v>Other employees eligible to participate in the leave travel allowance or bonus leave plan</v>
      </c>
      <c r="S121" s="67" t="str">
        <f>HYPERLINK("#'Perks &amp; Allowances'!DQ1","Q11.98")</f>
        <v>Q11.98</v>
      </c>
      <c r="T121" s="68" t="str">
        <f>HYPERLINK("#'Perks &amp; Allowances'!DQ2","Other innovative benefits the company offers")</f>
        <v>Other innovative benefits the company offers</v>
      </c>
    </row>
    <row r="122" spans="15:20" ht="38.25" x14ac:dyDescent="0.2">
      <c r="O122" s="67" t="str">
        <f>HYPERLINK("#'Leaves'!DR1","Q9.103")</f>
        <v>Q9.103</v>
      </c>
      <c r="P122" s="68" t="str">
        <f>HYPERLINK("#'Leaves'!DR2","Number of days required before new employees are eligible for leave travel allowance or bonus leave")</f>
        <v>Number of days required before new employees are eligible for leave travel allowance or bonus leave</v>
      </c>
      <c r="S122" s="67" t="str">
        <f>HYPERLINK("#'Perks &amp; Allowances'!DR1","Q11.99")</f>
        <v>Q11.99</v>
      </c>
      <c r="T122" s="68" t="str">
        <f>HYPERLINK("#'Perks &amp; Allowances'!DR2","Have perks and allowances only executives are eligible to participate in")</f>
        <v>Have perks and allowances only executives are eligible to participate in</v>
      </c>
    </row>
    <row r="123" spans="15:20" ht="26.25" thickBot="1" x14ac:dyDescent="0.25">
      <c r="O123" s="67" t="str">
        <f>HYPERLINK("#'Leaves'!DS1","Q9.104")</f>
        <v>Q9.104</v>
      </c>
      <c r="P123" s="68" t="str">
        <f>HYPERLINK("#'Leaves'!DS2","Number of weeks an employee is entitled to for leave travel allowance or bonus leave")</f>
        <v>Number of weeks an employee is entitled to for leave travel allowance or bonus leave</v>
      </c>
      <c r="S123" s="69" t="str">
        <f>HYPERLINK("#'Perks &amp; Allowances'!DS1","Q11.100")</f>
        <v>Q11.100</v>
      </c>
      <c r="T123" s="70" t="str">
        <f>HYPERLINK("#'Perks &amp; Allowances'!DS2","Description of perks and allowances only executives are eligible to participate in")</f>
        <v>Description of perks and allowances only executives are eligible to participate in</v>
      </c>
    </row>
    <row r="124" spans="15:20" x14ac:dyDescent="0.2">
      <c r="O124" s="67" t="str">
        <f>HYPERLINK("#'Leaves'!DT1","Q9.106")</f>
        <v>Q9.106</v>
      </c>
      <c r="P124" s="68" t="str">
        <f>HYPERLINK("#'Leaves'!DT2","Approach to military/reserve leave")</f>
        <v>Approach to military/reserve leave</v>
      </c>
    </row>
    <row r="125" spans="15:20" x14ac:dyDescent="0.2">
      <c r="O125" s="67" t="str">
        <f>HYPERLINK("#'Leaves'!DU1","Q9.107")</f>
        <v>Q9.107</v>
      </c>
      <c r="P125" s="68" t="str">
        <f>HYPERLINK("#'Leaves'!DU2","How military/reserve leave is paid")</f>
        <v>How military/reserve leave is paid</v>
      </c>
    </row>
    <row r="126" spans="15:20" ht="25.5" x14ac:dyDescent="0.2">
      <c r="O126" s="67" t="str">
        <f>HYPERLINK("#'Leaves'!DV1","Q9.108")</f>
        <v>Q9.108</v>
      </c>
      <c r="P126" s="68" t="str">
        <f>HYPERLINK("#'Leaves'!DV2","Employees eligible to participate in the military/reserve leave plan")</f>
        <v>Employees eligible to participate in the military/reserve leave plan</v>
      </c>
    </row>
    <row r="127" spans="15:20" ht="25.5" x14ac:dyDescent="0.2">
      <c r="O127" s="67" t="str">
        <f>HYPERLINK("#'Leaves'!DW1","Q9.108_8_TEXT")</f>
        <v>Q9.108_8_TEXT</v>
      </c>
      <c r="P127" s="68" t="str">
        <f>HYPERLINK("#'Leaves'!DW2","Other employees eligible to participate in the military/reserve leave plan")</f>
        <v>Other employees eligible to participate in the military/reserve leave plan</v>
      </c>
    </row>
    <row r="128" spans="15:20" ht="25.5" x14ac:dyDescent="0.2">
      <c r="O128" s="67" t="str">
        <f>HYPERLINK("#'Leaves'!DX1","Q9.109")</f>
        <v>Q9.109</v>
      </c>
      <c r="P128" s="68" t="str">
        <f>HYPERLINK("#'Leaves'!DX2","Number of days required before new employees are eligible for military/reserve leave")</f>
        <v>Number of days required before new employees are eligible for military/reserve leave</v>
      </c>
    </row>
    <row r="129" spans="15:16" ht="25.5" x14ac:dyDescent="0.2">
      <c r="O129" s="67" t="str">
        <f>HYPERLINK("#'Leaves'!DY1","Q9.110")</f>
        <v>Q9.110</v>
      </c>
      <c r="P129" s="68" t="str">
        <f>HYPERLINK("#'Leaves'!DY2","Number of weeks an employee is entitled to for military/reserve leave")</f>
        <v>Number of weeks an employee is entitled to for military/reserve leave</v>
      </c>
    </row>
    <row r="130" spans="15:16" x14ac:dyDescent="0.2">
      <c r="O130" s="67" t="str">
        <f>HYPERLINK("#'Leaves'!DZ1","Q9.112")</f>
        <v>Q9.112</v>
      </c>
      <c r="P130" s="68" t="str">
        <f>HYPERLINK("#'Leaves'!DZ2","Approach to jury service leave")</f>
        <v>Approach to jury service leave</v>
      </c>
    </row>
    <row r="131" spans="15:16" x14ac:dyDescent="0.2">
      <c r="O131" s="67" t="str">
        <f>HYPERLINK("#'Leaves'!EA1","Q9.113")</f>
        <v>Q9.113</v>
      </c>
      <c r="P131" s="68" t="str">
        <f>HYPERLINK("#'Leaves'!EA2","How jury service leave is paid")</f>
        <v>How jury service leave is paid</v>
      </c>
    </row>
    <row r="132" spans="15:16" ht="25.5" x14ac:dyDescent="0.2">
      <c r="O132" s="67" t="str">
        <f>HYPERLINK("#'Leaves'!EB1","Q9.114")</f>
        <v>Q9.114</v>
      </c>
      <c r="P132" s="68" t="str">
        <f>HYPERLINK("#'Leaves'!EB2","Employees eligible to participate in the jury service leave plan")</f>
        <v>Employees eligible to participate in the jury service leave plan</v>
      </c>
    </row>
    <row r="133" spans="15:16" ht="25.5" x14ac:dyDescent="0.2">
      <c r="O133" s="67" t="str">
        <f>HYPERLINK("#'Leaves'!EC1","Q9.114_8_TEXT")</f>
        <v>Q9.114_8_TEXT</v>
      </c>
      <c r="P133" s="68" t="str">
        <f>HYPERLINK("#'Leaves'!EC2","Other employees eligible to participate in the jury service leave plan")</f>
        <v>Other employees eligible to participate in the jury service leave plan</v>
      </c>
    </row>
    <row r="134" spans="15:16" x14ac:dyDescent="0.2">
      <c r="O134" s="67" t="str">
        <f>HYPERLINK("#'Leaves'!ED1","Q9.115")</f>
        <v>Q9.115</v>
      </c>
      <c r="P134" s="68" t="str">
        <f>HYPERLINK("#'Leaves'!ED2","Jury service leave requires proof")</f>
        <v>Jury service leave requires proof</v>
      </c>
    </row>
    <row r="135" spans="15:16" ht="25.5" x14ac:dyDescent="0.2">
      <c r="O135" s="67" t="str">
        <f>HYPERLINK("#'Leaves'!EE1","Q9.116")</f>
        <v>Q9.116</v>
      </c>
      <c r="P135" s="68" t="str">
        <f>HYPERLINK("#'Leaves'!EE2","Number of days required before new employees are eligible for jury service leave")</f>
        <v>Number of days required before new employees are eligible for jury service leave</v>
      </c>
    </row>
    <row r="136" spans="15:16" ht="25.5" x14ac:dyDescent="0.2">
      <c r="O136" s="67" t="str">
        <f>HYPERLINK("#'Leaves'!EF1","Q9.117")</f>
        <v>Q9.117</v>
      </c>
      <c r="P136" s="68" t="str">
        <f>HYPERLINK("#'Leaves'!EF2","Number of days an employee is entitled to for jury service leave")</f>
        <v>Number of days an employee is entitled to for jury service leave</v>
      </c>
    </row>
    <row r="137" spans="15:16" x14ac:dyDescent="0.2">
      <c r="O137" s="67" t="str">
        <f>HYPERLINK("#'Leaves'!EG1","Q9.119")</f>
        <v>Q9.119</v>
      </c>
      <c r="P137" s="68" t="str">
        <f>HYPERLINK("#'Leaves'!EG2","Approach to study leave")</f>
        <v>Approach to study leave</v>
      </c>
    </row>
    <row r="138" spans="15:16" x14ac:dyDescent="0.2">
      <c r="O138" s="67" t="str">
        <f>HYPERLINK("#'Leaves'!EH1","Q9.120")</f>
        <v>Q9.120</v>
      </c>
      <c r="P138" s="68" t="str">
        <f>HYPERLINK("#'Leaves'!EH2","How study leave is paid")</f>
        <v>How study leave is paid</v>
      </c>
    </row>
    <row r="139" spans="15:16" ht="25.5" x14ac:dyDescent="0.2">
      <c r="O139" s="67" t="str">
        <f>HYPERLINK("#'Leaves'!EI1","Q9.121")</f>
        <v>Q9.121</v>
      </c>
      <c r="P139" s="68" t="str">
        <f>HYPERLINK("#'Leaves'!EI2","Employees eligible to participate in the study leave plan")</f>
        <v>Employees eligible to participate in the study leave plan</v>
      </c>
    </row>
    <row r="140" spans="15:16" ht="25.5" x14ac:dyDescent="0.2">
      <c r="O140" s="67" t="str">
        <f>HYPERLINK("#'Leaves'!EJ1","Q9.121_8_TEXT")</f>
        <v>Q9.121_8_TEXT</v>
      </c>
      <c r="P140" s="68" t="str">
        <f>HYPERLINK("#'Leaves'!EJ2","Other employees eligible to participate in the study leave plan")</f>
        <v>Other employees eligible to participate in the study leave plan</v>
      </c>
    </row>
    <row r="141" spans="15:16" ht="25.5" x14ac:dyDescent="0.2">
      <c r="O141" s="67" t="str">
        <f>HYPERLINK("#'Leaves'!EK1","Q9.122")</f>
        <v>Q9.122</v>
      </c>
      <c r="P141" s="68" t="str">
        <f>HYPERLINK("#'Leaves'!EK2","Number of days required before new employees are eligible for study leave")</f>
        <v>Number of days required before new employees are eligible for study leave</v>
      </c>
    </row>
    <row r="142" spans="15:16" ht="25.5" x14ac:dyDescent="0.2">
      <c r="O142" s="67" t="str">
        <f>HYPERLINK("#'Leaves'!EL1","Q9.123")</f>
        <v>Q9.123</v>
      </c>
      <c r="P142" s="68" t="str">
        <f>HYPERLINK("#'Leaves'!EL2","Requirements for an employees to take study leave")</f>
        <v>Requirements for an employees to take study leave</v>
      </c>
    </row>
    <row r="143" spans="15:16" ht="25.5" x14ac:dyDescent="0.2">
      <c r="O143" s="67" t="str">
        <f>HYPERLINK("#'Leaves'!EM1","Q9.124")</f>
        <v>Q9.124</v>
      </c>
      <c r="P143" s="68" t="str">
        <f>HYPERLINK("#'Leaves'!EM2","Other requirements for an employee to take study leave")</f>
        <v>Other requirements for an employee to take study leave</v>
      </c>
    </row>
    <row r="144" spans="15:16" ht="25.5" x14ac:dyDescent="0.2">
      <c r="O144" s="67" t="str">
        <f>HYPERLINK("#'Leaves'!EN1","Q9.125")</f>
        <v>Q9.125</v>
      </c>
      <c r="P144" s="68" t="str">
        <f>HYPERLINK("#'Leaves'!EN2","Number of weeks an employee is entitled to for study leave")</f>
        <v>Number of weeks an employee is entitled to for study leave</v>
      </c>
    </row>
    <row r="145" spans="15:16" x14ac:dyDescent="0.2">
      <c r="O145" s="67" t="str">
        <f>HYPERLINK("#'Leaves'!EO1","Q9.127")</f>
        <v>Q9.127</v>
      </c>
      <c r="P145" s="68" t="str">
        <f>HYPERLINK("#'Leaves'!EO2","Approach to charity projects leave")</f>
        <v>Approach to charity projects leave</v>
      </c>
    </row>
    <row r="146" spans="15:16" x14ac:dyDescent="0.2">
      <c r="O146" s="67" t="str">
        <f>HYPERLINK("#'Leaves'!EP1","Q9.128")</f>
        <v>Q9.128</v>
      </c>
      <c r="P146" s="68" t="str">
        <f>HYPERLINK("#'Leaves'!EP2","How charity projects leave is paid")</f>
        <v>How charity projects leave is paid</v>
      </c>
    </row>
    <row r="147" spans="15:16" ht="25.5" x14ac:dyDescent="0.2">
      <c r="O147" s="67" t="str">
        <f>HYPERLINK("#'Leaves'!EQ1","Q9.129")</f>
        <v>Q9.129</v>
      </c>
      <c r="P147" s="68" t="str">
        <f>HYPERLINK("#'Leaves'!EQ2","Employees eligible to participate in the charity projects leave plan")</f>
        <v>Employees eligible to participate in the charity projects leave plan</v>
      </c>
    </row>
    <row r="148" spans="15:16" ht="25.5" x14ac:dyDescent="0.2">
      <c r="O148" s="67" t="str">
        <f>HYPERLINK("#'Leaves'!ER1","Q9.129_8_TEXT")</f>
        <v>Q9.129_8_TEXT</v>
      </c>
      <c r="P148" s="68" t="str">
        <f>HYPERLINK("#'Leaves'!ER2","Other employees eligible to participate in the charity projects leave plan")</f>
        <v>Other employees eligible to participate in the charity projects leave plan</v>
      </c>
    </row>
    <row r="149" spans="15:16" ht="38.25" x14ac:dyDescent="0.2">
      <c r="O149" s="67" t="str">
        <f>HYPERLINK("#'Leaves'!ES1","Q9.130")</f>
        <v>Q9.130</v>
      </c>
      <c r="P149" s="68" t="str">
        <f>HYPERLINK("#'Leaves'!ES2","Number of days required before new employees are eligible for charity projects leave")</f>
        <v>Number of days required before new employees are eligible for charity projects leave</v>
      </c>
    </row>
    <row r="150" spans="15:16" ht="25.5" x14ac:dyDescent="0.2">
      <c r="O150" s="67" t="str">
        <f>HYPERLINK("#'Leaves'!ET1","Q9.131")</f>
        <v>Q9.131</v>
      </c>
      <c r="P150" s="68" t="str">
        <f>HYPERLINK("#'Leaves'!ET2","Number of business days an employee is entitled to for charity projects leave")</f>
        <v>Number of business days an employee is entitled to for charity projects leave</v>
      </c>
    </row>
    <row r="151" spans="15:16" x14ac:dyDescent="0.2">
      <c r="O151" s="67" t="str">
        <f>HYPERLINK("#'Leaves'!EU1","Q9.133")</f>
        <v>Q9.133</v>
      </c>
      <c r="P151" s="68" t="str">
        <f>HYPERLINK("#'Leaves'!EU2","Approach to sabbatical leave")</f>
        <v>Approach to sabbatical leave</v>
      </c>
    </row>
    <row r="152" spans="15:16" x14ac:dyDescent="0.2">
      <c r="O152" s="67" t="str">
        <f>HYPERLINK("#'Leaves'!EV1","Q9.134")</f>
        <v>Q9.134</v>
      </c>
      <c r="P152" s="68" t="str">
        <f>HYPERLINK("#'Leaves'!EV2","How sabbatical leave is paid")</f>
        <v>How sabbatical leave is paid</v>
      </c>
    </row>
    <row r="153" spans="15:16" ht="25.5" x14ac:dyDescent="0.2">
      <c r="O153" s="67" t="str">
        <f>HYPERLINK("#'Leaves'!EW1","Q9.135")</f>
        <v>Q9.135</v>
      </c>
      <c r="P153" s="68" t="str">
        <f>HYPERLINK("#'Leaves'!EW2","Employees eligible to participate in the sabbatical leave plan")</f>
        <v>Employees eligible to participate in the sabbatical leave plan</v>
      </c>
    </row>
    <row r="154" spans="15:16" ht="25.5" x14ac:dyDescent="0.2">
      <c r="O154" s="67" t="str">
        <f>HYPERLINK("#'Leaves'!EX1","Q9.135_8_TEXT")</f>
        <v>Q9.135_8_TEXT</v>
      </c>
      <c r="P154" s="68" t="str">
        <f>HYPERLINK("#'Leaves'!EX2","Other employees eligible to participate in the sabbatical leave plan")</f>
        <v>Other employees eligible to participate in the sabbatical leave plan</v>
      </c>
    </row>
    <row r="155" spans="15:16" ht="25.5" x14ac:dyDescent="0.2">
      <c r="O155" s="67" t="str">
        <f>HYPERLINK("#'Leaves'!EY1","Q9.136")</f>
        <v>Q9.136</v>
      </c>
      <c r="P155" s="68" t="str">
        <f>HYPERLINK("#'Leaves'!EY2","Length of service required for an employee's first sabbatical")</f>
        <v>Length of service required for an employee's first sabbatical</v>
      </c>
    </row>
    <row r="156" spans="15:16" x14ac:dyDescent="0.2">
      <c r="O156" s="67" t="str">
        <f>HYPERLINK("#'Leaves'!EZ1","Q9.137")</f>
        <v>Q9.137</v>
      </c>
      <c r="P156" s="68" t="str">
        <f>HYPERLINK("#'Leaves'!EZ2","Maximum length of sabbatical leave")</f>
        <v>Maximum length of sabbatical leave</v>
      </c>
    </row>
    <row r="157" spans="15:16" x14ac:dyDescent="0.2">
      <c r="O157" s="67" t="str">
        <f>HYPERLINK("#'Leaves'!FA1","Q9.138")</f>
        <v>Q9.138</v>
      </c>
      <c r="P157" s="68" t="str">
        <f>HYPERLINK("#'Leaves'!FA2","Benefits continued during the sabbatical leave")</f>
        <v>Benefits continued during the sabbatical leave</v>
      </c>
    </row>
    <row r="158" spans="15:16" ht="25.5" x14ac:dyDescent="0.2">
      <c r="O158" s="67" t="str">
        <f>HYPERLINK("#'Leaves'!FB1","Q9.139")</f>
        <v>Q9.139</v>
      </c>
      <c r="P158" s="68" t="str">
        <f>HYPERLINK("#'Leaves'!FB2","Which benefits are continued during the sabbatical leave")</f>
        <v>Which benefits are continued during the sabbatical leave</v>
      </c>
    </row>
    <row r="159" spans="15:16" ht="25.5" x14ac:dyDescent="0.2">
      <c r="O159" s="67" t="str">
        <f>HYPERLINK("#'Leaves'!FC1","Q9.141")</f>
        <v>Q9.141</v>
      </c>
      <c r="P159" s="68" t="str">
        <f>HYPERLINK("#'Leaves'!FC2","Employees eligible to participate in the unpaid leave plan")</f>
        <v>Employees eligible to participate in the unpaid leave plan</v>
      </c>
    </row>
    <row r="160" spans="15:16" ht="25.5" x14ac:dyDescent="0.2">
      <c r="O160" s="67" t="str">
        <f>HYPERLINK("#'Leaves'!FD1","Q9.141_8_TEXT")</f>
        <v>Q9.141_8_TEXT</v>
      </c>
      <c r="P160" s="68" t="str">
        <f>HYPERLINK("#'Leaves'!FD2","Other employees eligible to participate in the unpaid leave plan")</f>
        <v>Other employees eligible to participate in the unpaid leave plan</v>
      </c>
    </row>
    <row r="161" spans="15:16" ht="25.5" x14ac:dyDescent="0.2">
      <c r="O161" s="67" t="str">
        <f>HYPERLINK("#'Leaves'!FE1","Q9.142")</f>
        <v>Q9.142</v>
      </c>
      <c r="P161" s="68" t="str">
        <f>HYPERLINK("#'Leaves'!FE2","Number of days required before new employees are eligible for unpaid leave")</f>
        <v>Number of days required before new employees are eligible for unpaid leave</v>
      </c>
    </row>
    <row r="162" spans="15:16" ht="25.5" x14ac:dyDescent="0.2">
      <c r="O162" s="67" t="str">
        <f>HYPERLINK("#'Leaves'!FF1","Q9.143")</f>
        <v>Q9.143</v>
      </c>
      <c r="P162" s="68" t="str">
        <f>HYPERLINK("#'Leaves'!FF2","Number of weeks an employee is entitled to for unpaid leave")</f>
        <v>Number of weeks an employee is entitled to for unpaid leave</v>
      </c>
    </row>
    <row r="163" spans="15:16" x14ac:dyDescent="0.2">
      <c r="O163" s="67" t="str">
        <f>HYPERLINK("#'Leaves'!FG1","Q9.145")</f>
        <v>Q9.145</v>
      </c>
      <c r="P163" s="68" t="str">
        <f>HYPERLINK("#'Leaves'!FG2","Other leave policy")</f>
        <v>Other leave policy</v>
      </c>
    </row>
    <row r="164" spans="15:16" x14ac:dyDescent="0.2">
      <c r="O164" s="67" t="str">
        <f>HYPERLINK("#'Leaves'!FH1","Q9.146")</f>
        <v>Q9.146</v>
      </c>
      <c r="P164" s="68" t="str">
        <f>HYPERLINK("#'Leaves'!FH2","Approach to other leave")</f>
        <v>Approach to other leave</v>
      </c>
    </row>
    <row r="165" spans="15:16" x14ac:dyDescent="0.2">
      <c r="O165" s="67" t="str">
        <f>HYPERLINK("#'Leaves'!FI1","Q9.147")</f>
        <v>Q9.147</v>
      </c>
      <c r="P165" s="68" t="str">
        <f>HYPERLINK("#'Leaves'!FI2","How other leave is paid")</f>
        <v>How other leave is paid</v>
      </c>
    </row>
    <row r="166" spans="15:16" ht="25.5" x14ac:dyDescent="0.2">
      <c r="O166" s="67" t="str">
        <f>HYPERLINK("#'Leaves'!FJ1","Q9.148")</f>
        <v>Q9.148</v>
      </c>
      <c r="P166" s="68" t="str">
        <f>HYPERLINK("#'Leaves'!FJ2","Employees eligible to participate in the other leave plan")</f>
        <v>Employees eligible to participate in the other leave plan</v>
      </c>
    </row>
    <row r="167" spans="15:16" ht="25.5" x14ac:dyDescent="0.2">
      <c r="O167" s="67" t="str">
        <f>HYPERLINK("#'Leaves'!FK1","Q9.148_8_TEXT")</f>
        <v>Q9.148_8_TEXT</v>
      </c>
      <c r="P167" s="68" t="str">
        <f>HYPERLINK("#'Leaves'!FK2","Other employees eligible to participate in the other leave plan")</f>
        <v>Other employees eligible to participate in the other leave plan</v>
      </c>
    </row>
    <row r="168" spans="15:16" ht="25.5" x14ac:dyDescent="0.2">
      <c r="O168" s="67" t="str">
        <f>HYPERLINK("#'Leaves'!FL1","Q9.149")</f>
        <v>Q9.149</v>
      </c>
      <c r="P168" s="68" t="str">
        <f>HYPERLINK("#'Leaves'!FL2","Number of days required before new employees are eligible for other leave")</f>
        <v>Number of days required before new employees are eligible for other leave</v>
      </c>
    </row>
    <row r="169" spans="15:16" ht="25.5" x14ac:dyDescent="0.2">
      <c r="O169" s="67" t="str">
        <f>HYPERLINK("#'Leaves'!FM1","Q9.150")</f>
        <v>Q9.150</v>
      </c>
      <c r="P169" s="68" t="str">
        <f>HYPERLINK("#'Leaves'!FM2","Number of weeks an employee is entitled to for other leave")</f>
        <v>Number of weeks an employee is entitled to for other leave</v>
      </c>
    </row>
    <row r="170" spans="15:16" ht="25.5" x14ac:dyDescent="0.2">
      <c r="O170" s="67" t="str">
        <f>HYPERLINK("#'Leaves'!FN1","Q9.152")</f>
        <v>Q9.152</v>
      </c>
      <c r="P170" s="68" t="str">
        <f>HYPERLINK("#'Leaves'!FN2","Describe any other truly differentiating or unique leave policies offered")</f>
        <v>Describe any other truly differentiating or unique leave policies offered</v>
      </c>
    </row>
    <row r="171" spans="15:16" ht="25.5" x14ac:dyDescent="0.2">
      <c r="O171" s="67" t="str">
        <f>HYPERLINK("#'Leaves'!FO1","Q9.153")</f>
        <v>Q9.153</v>
      </c>
      <c r="P171" s="68" t="str">
        <f>HYPERLINK("#'Leaves'!FO2","Have a leave plan for which only executives are eligible to participate")</f>
        <v>Have a leave plan for which only executives are eligible to participate</v>
      </c>
    </row>
    <row r="172" spans="15:16" ht="26.25" thickBot="1" x14ac:dyDescent="0.25">
      <c r="O172" s="69" t="str">
        <f>HYPERLINK("#'Leaves'!FP1","Q9.154")</f>
        <v>Q9.154</v>
      </c>
      <c r="P172" s="70" t="str">
        <f>HYPERLINK("#'Leaves'!FP2","Description of the leave plan for which only executives are eligible to participate")</f>
        <v>Description of the leave plan for which only executives are eligible to participate</v>
      </c>
    </row>
  </sheetData>
  <mergeCells count="11">
    <mergeCell ref="U1:V1"/>
    <mergeCell ref="A1:B1"/>
    <mergeCell ref="C1:D1"/>
    <mergeCell ref="E1:F1"/>
    <mergeCell ref="G1:H1"/>
    <mergeCell ref="I1:J1"/>
    <mergeCell ref="K1:L1"/>
    <mergeCell ref="M1:N1"/>
    <mergeCell ref="O1:P1"/>
    <mergeCell ref="Q1:R1"/>
    <mergeCell ref="S1:T1"/>
  </mergeCells>
  <hyperlinks>
    <hyperlink ref="A1:B1" location="'Private Medical Insurance'!A1" display="Private Medical Insurance" xr:uid="{00000000-0004-0000-0000-00000D000000}"/>
    <hyperlink ref="C1:D1" location="'Dental &amp; Vision'!A1" display="Dental &amp; Vision" xr:uid="{00000000-0004-0000-0000-00000E000000}"/>
    <hyperlink ref="E1:F1" location="'Life,Accident,Critical Illness'!A1" display="Life, Accident, Critical Illness" xr:uid="{00000000-0004-0000-0000-00000F000000}"/>
    <hyperlink ref="G1:H1" location="'Short &amp; Long Term Disability'!A1" display="Short &amp; Long Term Disability" xr:uid="{00000000-0004-0000-0000-000010000000}"/>
    <hyperlink ref="I1:J1" location="Retirement!A1" display="Retirement" xr:uid="{00000000-0004-0000-0000-000011000000}"/>
    <hyperlink ref="K1:L1" location="Wellness!A1" display="Wellness" xr:uid="{00000000-0004-0000-0000-000012000000}"/>
    <hyperlink ref="M1:N1" location="EAP!A1" display="EAP" xr:uid="{00000000-0004-0000-0000-000013000000}"/>
    <hyperlink ref="O1:P1" location="Leaves!A1" display="Leaves" xr:uid="{00000000-0004-0000-0000-000014000000}"/>
    <hyperlink ref="Q1:R1" location="'Voluntary Benefits'!A1" display="Voluntary Benefits" xr:uid="{00000000-0004-0000-0000-000015000000}"/>
    <hyperlink ref="S1:T1" location="'Perks &amp; Allowances'!A1" display="Perks &amp; Allowances" xr:uid="{00000000-0004-0000-0000-000016000000}"/>
    <hyperlink ref="U1:V1" location="'Transportation Policy'!A1" display="Transportation Policy" xr:uid="{00000000-0004-0000-0000-000017000000}"/>
  </hyperlinks>
  <pageMargins left="0.7" right="0.7" top="0.75" bottom="0.75" header="0.3" footer="0.3"/>
  <pageSetup paperSize="168"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K68"/>
  <sheetViews>
    <sheetView zoomScaleNormal="100" workbookViewId="0">
      <pane xSplit="1" ySplit="2" topLeftCell="B3" activePane="bottomRight" state="frozen"/>
      <selection sqref="A1:B1"/>
      <selection pane="topRight" sqref="A1:B1"/>
      <selection pane="bottomLeft" sqref="A1:B1"/>
      <selection pane="bottomRight" activeCell="B3" sqref="B3"/>
    </sheetView>
  </sheetViews>
  <sheetFormatPr defaultRowHeight="12.75" x14ac:dyDescent="0.2"/>
  <cols>
    <col min="1" max="1" width="13.5703125" style="6" bestFit="1" customWidth="1"/>
    <col min="2" max="23" width="30.7109375" style="7" customWidth="1"/>
    <col min="24" max="24" width="70.7109375" style="7" customWidth="1"/>
    <col min="25" max="29" width="30.7109375" style="7" customWidth="1"/>
    <col min="30" max="30" width="60.7109375" style="7" customWidth="1"/>
    <col min="31" max="31" width="75.7109375" style="7" customWidth="1"/>
    <col min="32" max="35" width="30.7109375" style="7" customWidth="1"/>
    <col min="36" max="36" width="75.7109375" style="7" customWidth="1"/>
    <col min="37" max="58" width="30.7109375" style="7" customWidth="1"/>
    <col min="59" max="59" width="30.7109375" style="8" customWidth="1"/>
    <col min="60" max="62" width="30.7109375" style="7" customWidth="1"/>
    <col min="63" max="63" width="30.7109375" style="8" customWidth="1"/>
    <col min="64" max="65" width="30.7109375" style="7" customWidth="1"/>
    <col min="66" max="66" width="30.7109375" style="8" customWidth="1"/>
    <col min="67" max="70" width="30.7109375" style="7" customWidth="1"/>
    <col min="71" max="71" width="30.7109375" style="8" customWidth="1"/>
    <col min="72" max="89" width="30.7109375" style="7" customWidth="1"/>
    <col min="90" max="16384" width="9.140625" style="6"/>
  </cols>
  <sheetData>
    <row r="1" spans="1:89" s="3" customFormat="1" x14ac:dyDescent="0.2">
      <c r="A1" s="19" t="s">
        <v>969</v>
      </c>
      <c r="B1" s="1" t="s">
        <v>0</v>
      </c>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26</v>
      </c>
      <c r="AC1" s="1" t="s">
        <v>27</v>
      </c>
      <c r="AD1" s="1" t="s">
        <v>28</v>
      </c>
      <c r="AE1" s="1" t="s">
        <v>29</v>
      </c>
      <c r="AF1" s="1" t="s">
        <v>30</v>
      </c>
      <c r="AG1" s="1" t="s">
        <v>31</v>
      </c>
      <c r="AH1" s="1" t="s">
        <v>32</v>
      </c>
      <c r="AI1" s="1" t="s">
        <v>33</v>
      </c>
      <c r="AJ1" s="1" t="s">
        <v>34</v>
      </c>
      <c r="AK1" s="1" t="s">
        <v>35</v>
      </c>
      <c r="AL1" s="1" t="s">
        <v>36</v>
      </c>
      <c r="AM1" s="1" t="s">
        <v>37</v>
      </c>
      <c r="AN1" s="1" t="s">
        <v>38</v>
      </c>
      <c r="AO1" s="1" t="s">
        <v>39</v>
      </c>
      <c r="AP1" s="1" t="s">
        <v>40</v>
      </c>
      <c r="AQ1" s="1" t="s">
        <v>41</v>
      </c>
      <c r="AR1" s="1" t="s">
        <v>42</v>
      </c>
      <c r="AS1" s="1" t="s">
        <v>43</v>
      </c>
      <c r="AT1" s="1" t="s">
        <v>44</v>
      </c>
      <c r="AU1" s="1" t="s">
        <v>45</v>
      </c>
      <c r="AV1" s="1" t="s">
        <v>46</v>
      </c>
      <c r="AW1" s="1" t="s">
        <v>47</v>
      </c>
      <c r="AX1" s="1" t="s">
        <v>48</v>
      </c>
      <c r="AY1" s="1" t="s">
        <v>49</v>
      </c>
      <c r="AZ1" s="1" t="s">
        <v>50</v>
      </c>
      <c r="BA1" s="1" t="s">
        <v>51</v>
      </c>
      <c r="BB1" s="1" t="s">
        <v>52</v>
      </c>
      <c r="BC1" s="1" t="s">
        <v>53</v>
      </c>
      <c r="BD1" s="1" t="s">
        <v>54</v>
      </c>
      <c r="BE1" s="1" t="s">
        <v>55</v>
      </c>
      <c r="BF1" s="1" t="s">
        <v>56</v>
      </c>
      <c r="BG1" s="2" t="s">
        <v>57</v>
      </c>
      <c r="BH1" s="1" t="s">
        <v>58</v>
      </c>
      <c r="BI1" s="1" t="s">
        <v>59</v>
      </c>
      <c r="BJ1" s="1" t="s">
        <v>60</v>
      </c>
      <c r="BK1" s="2" t="s">
        <v>61</v>
      </c>
      <c r="BL1" s="1" t="s">
        <v>62</v>
      </c>
      <c r="BM1" s="1" t="s">
        <v>63</v>
      </c>
      <c r="BN1" s="2" t="s">
        <v>64</v>
      </c>
      <c r="BO1" s="1" t="s">
        <v>65</v>
      </c>
      <c r="BP1" s="1" t="s">
        <v>66</v>
      </c>
      <c r="BQ1" s="1" t="s">
        <v>67</v>
      </c>
      <c r="BR1" s="1" t="s">
        <v>68</v>
      </c>
      <c r="BS1" s="2" t="s">
        <v>69</v>
      </c>
      <c r="BT1" s="1" t="s">
        <v>70</v>
      </c>
      <c r="BU1" s="1" t="s">
        <v>71</v>
      </c>
      <c r="BV1" s="1" t="s">
        <v>72</v>
      </c>
      <c r="BW1" s="1" t="s">
        <v>73</v>
      </c>
      <c r="BX1" s="1" t="s">
        <v>74</v>
      </c>
      <c r="BY1" s="1" t="s">
        <v>75</v>
      </c>
      <c r="BZ1" s="1" t="s">
        <v>76</v>
      </c>
      <c r="CA1" s="1" t="s">
        <v>77</v>
      </c>
      <c r="CB1" s="1" t="s">
        <v>78</v>
      </c>
      <c r="CC1" s="1" t="s">
        <v>79</v>
      </c>
      <c r="CD1" s="1" t="s">
        <v>80</v>
      </c>
      <c r="CE1" s="1" t="s">
        <v>81</v>
      </c>
      <c r="CF1" s="1" t="s">
        <v>82</v>
      </c>
      <c r="CG1" s="1" t="s">
        <v>83</v>
      </c>
      <c r="CH1" s="1" t="s">
        <v>84</v>
      </c>
      <c r="CI1" s="1" t="s">
        <v>85</v>
      </c>
      <c r="CJ1" s="1" t="s">
        <v>86</v>
      </c>
      <c r="CK1" s="1" t="s">
        <v>87</v>
      </c>
    </row>
    <row r="2" spans="1:89" s="3" customFormat="1" ht="63.75" x14ac:dyDescent="0.2">
      <c r="A2" s="3" t="s">
        <v>968</v>
      </c>
      <c r="B2" s="4" t="s">
        <v>2674</v>
      </c>
      <c r="C2" s="1" t="s">
        <v>2675</v>
      </c>
      <c r="D2" s="1" t="s">
        <v>2676</v>
      </c>
      <c r="E2" s="4" t="s">
        <v>2677</v>
      </c>
      <c r="F2" s="4" t="s">
        <v>3404</v>
      </c>
      <c r="G2" s="1" t="s">
        <v>2678</v>
      </c>
      <c r="H2" s="4" t="s">
        <v>2679</v>
      </c>
      <c r="I2" s="4" t="s">
        <v>2680</v>
      </c>
      <c r="J2" s="1" t="s">
        <v>2681</v>
      </c>
      <c r="K2" s="1" t="s">
        <v>2682</v>
      </c>
      <c r="L2" s="4" t="s">
        <v>2683</v>
      </c>
      <c r="M2" s="4" t="s">
        <v>2684</v>
      </c>
      <c r="N2" s="1" t="s">
        <v>2685</v>
      </c>
      <c r="O2" s="1" t="s">
        <v>3407</v>
      </c>
      <c r="P2" s="4" t="s">
        <v>2686</v>
      </c>
      <c r="Q2" s="4" t="s">
        <v>3405</v>
      </c>
      <c r="R2" s="1" t="s">
        <v>2687</v>
      </c>
      <c r="S2" s="1" t="s">
        <v>3408</v>
      </c>
      <c r="T2" s="4" t="s">
        <v>2688</v>
      </c>
      <c r="U2" s="4" t="s">
        <v>2689</v>
      </c>
      <c r="V2" s="4" t="s">
        <v>2690</v>
      </c>
      <c r="W2" s="4" t="s">
        <v>2691</v>
      </c>
      <c r="X2" s="1" t="s">
        <v>2692</v>
      </c>
      <c r="Y2" s="1" t="s">
        <v>3409</v>
      </c>
      <c r="Z2" s="4" t="s">
        <v>2693</v>
      </c>
      <c r="AA2" s="4" t="s">
        <v>2694</v>
      </c>
      <c r="AB2" s="4" t="s">
        <v>2695</v>
      </c>
      <c r="AC2" s="1" t="s">
        <v>2696</v>
      </c>
      <c r="AD2" s="1" t="s">
        <v>3410</v>
      </c>
      <c r="AE2" s="1" t="s">
        <v>2697</v>
      </c>
      <c r="AF2" s="4" t="s">
        <v>2698</v>
      </c>
      <c r="AG2" s="4" t="s">
        <v>3406</v>
      </c>
      <c r="AH2" s="4" t="s">
        <v>2699</v>
      </c>
      <c r="AI2" s="1" t="s">
        <v>2700</v>
      </c>
      <c r="AJ2" s="1" t="s">
        <v>2701</v>
      </c>
      <c r="AK2" s="4" t="s">
        <v>3411</v>
      </c>
      <c r="AL2" s="1" t="s">
        <v>2702</v>
      </c>
      <c r="AM2" s="1" t="s">
        <v>2703</v>
      </c>
      <c r="AN2" s="4" t="s">
        <v>2704</v>
      </c>
      <c r="AO2" s="1" t="s">
        <v>2705</v>
      </c>
      <c r="AP2" s="4" t="s">
        <v>2706</v>
      </c>
      <c r="AQ2" s="4" t="s">
        <v>2707</v>
      </c>
      <c r="AR2" s="4" t="s">
        <v>2708</v>
      </c>
      <c r="AS2" s="4" t="s">
        <v>2709</v>
      </c>
      <c r="AT2" s="4" t="s">
        <v>2710</v>
      </c>
      <c r="AU2" s="4" t="s">
        <v>2711</v>
      </c>
      <c r="AV2" s="1" t="s">
        <v>2712</v>
      </c>
      <c r="AW2" s="1" t="s">
        <v>2713</v>
      </c>
      <c r="AX2" s="1" t="s">
        <v>2714</v>
      </c>
      <c r="AY2" s="1" t="s">
        <v>2715</v>
      </c>
      <c r="AZ2" s="1" t="s">
        <v>2716</v>
      </c>
      <c r="BA2" s="1" t="s">
        <v>2717</v>
      </c>
      <c r="BB2" s="1" t="s">
        <v>2718</v>
      </c>
      <c r="BC2" s="1" t="s">
        <v>3412</v>
      </c>
      <c r="BD2" s="4" t="s">
        <v>2719</v>
      </c>
      <c r="BE2" s="4" t="s">
        <v>3413</v>
      </c>
      <c r="BF2" s="1" t="s">
        <v>2720</v>
      </c>
      <c r="BG2" s="2" t="s">
        <v>2721</v>
      </c>
      <c r="BH2" s="4" t="s">
        <v>2722</v>
      </c>
      <c r="BI2" s="4" t="s">
        <v>2723</v>
      </c>
      <c r="BJ2" s="1" t="s">
        <v>2724</v>
      </c>
      <c r="BK2" s="2" t="s">
        <v>2725</v>
      </c>
      <c r="BL2" s="4" t="s">
        <v>2726</v>
      </c>
      <c r="BM2" s="1" t="s">
        <v>2727</v>
      </c>
      <c r="BN2" s="2" t="s">
        <v>2728</v>
      </c>
      <c r="BO2" s="4" t="s">
        <v>2729</v>
      </c>
      <c r="BP2" s="4" t="s">
        <v>2730</v>
      </c>
      <c r="BQ2" s="4" t="s">
        <v>2731</v>
      </c>
      <c r="BR2" s="1" t="s">
        <v>2732</v>
      </c>
      <c r="BS2" s="5" t="s">
        <v>2733</v>
      </c>
      <c r="BT2" s="1" t="s">
        <v>2734</v>
      </c>
      <c r="BU2" s="1" t="s">
        <v>2735</v>
      </c>
      <c r="BV2" s="1" t="s">
        <v>2736</v>
      </c>
      <c r="BW2" s="4" t="s">
        <v>2737</v>
      </c>
      <c r="BX2" s="1" t="s">
        <v>2738</v>
      </c>
      <c r="BY2" s="1" t="s">
        <v>2739</v>
      </c>
      <c r="BZ2" s="4" t="s">
        <v>2740</v>
      </c>
      <c r="CA2" s="4" t="s">
        <v>2741</v>
      </c>
      <c r="CB2" s="4" t="s">
        <v>2742</v>
      </c>
      <c r="CC2" s="4" t="s">
        <v>2743</v>
      </c>
      <c r="CD2" s="1" t="s">
        <v>2707</v>
      </c>
      <c r="CE2" s="1" t="s">
        <v>2708</v>
      </c>
      <c r="CF2" s="1" t="s">
        <v>2709</v>
      </c>
      <c r="CG2" s="1" t="s">
        <v>2710</v>
      </c>
      <c r="CH2" s="1" t="s">
        <v>2711</v>
      </c>
      <c r="CI2" s="4" t="s">
        <v>2744</v>
      </c>
      <c r="CJ2" s="1" t="s">
        <v>2745</v>
      </c>
      <c r="CK2" s="1" t="s">
        <v>3414</v>
      </c>
    </row>
    <row r="3" spans="1:89" ht="51" x14ac:dyDescent="0.2">
      <c r="A3" s="6" t="s">
        <v>922</v>
      </c>
      <c r="B3" s="7" t="s">
        <v>972</v>
      </c>
      <c r="C3" s="7" t="s">
        <v>1003</v>
      </c>
      <c r="E3" s="7" t="s">
        <v>974</v>
      </c>
      <c r="G3" s="7" t="s">
        <v>975</v>
      </c>
      <c r="H3" s="7" t="s">
        <v>972</v>
      </c>
      <c r="J3" s="7" t="s">
        <v>972</v>
      </c>
      <c r="K3" s="7">
        <v>2</v>
      </c>
      <c r="L3" s="7" t="s">
        <v>976</v>
      </c>
      <c r="N3" s="7" t="s">
        <v>1036</v>
      </c>
      <c r="P3" s="7" t="s">
        <v>972</v>
      </c>
      <c r="Q3" s="7">
        <v>0</v>
      </c>
      <c r="R3" s="7" t="s">
        <v>1004</v>
      </c>
      <c r="T3" s="7" t="s">
        <v>990</v>
      </c>
      <c r="U3" s="7">
        <v>30</v>
      </c>
      <c r="V3" s="7" t="s">
        <v>990</v>
      </c>
      <c r="W3" s="7">
        <v>30</v>
      </c>
      <c r="X3" s="7" t="s">
        <v>1037</v>
      </c>
      <c r="Z3" s="7" t="s">
        <v>976</v>
      </c>
      <c r="AF3" s="7" t="s">
        <v>972</v>
      </c>
      <c r="AG3" s="7" t="s">
        <v>990</v>
      </c>
      <c r="AH3" s="7" t="s">
        <v>1038</v>
      </c>
      <c r="AI3" s="7" t="s">
        <v>976</v>
      </c>
      <c r="AO3" s="7">
        <v>0</v>
      </c>
      <c r="AP3" s="7" t="s">
        <v>982</v>
      </c>
      <c r="AV3" s="7" t="s">
        <v>993</v>
      </c>
      <c r="AY3" s="7" t="s">
        <v>993</v>
      </c>
      <c r="BD3" s="7" t="s">
        <v>984</v>
      </c>
      <c r="BF3" s="7" t="s">
        <v>976</v>
      </c>
      <c r="BH3" s="7" t="s">
        <v>985</v>
      </c>
      <c r="BJ3" s="7" t="s">
        <v>972</v>
      </c>
      <c r="BK3" s="8">
        <v>100</v>
      </c>
      <c r="BM3" s="7" t="s">
        <v>976</v>
      </c>
      <c r="BO3" s="7" t="s">
        <v>976</v>
      </c>
      <c r="BR3" s="7" t="s">
        <v>972</v>
      </c>
      <c r="BT3" s="7" t="s">
        <v>976</v>
      </c>
      <c r="BW3" s="7" t="s">
        <v>1039</v>
      </c>
      <c r="BX3" s="7" t="s">
        <v>1022</v>
      </c>
      <c r="BZ3" s="7" t="s">
        <v>972</v>
      </c>
      <c r="CA3" s="7">
        <v>250</v>
      </c>
      <c r="CB3" s="7">
        <v>250</v>
      </c>
      <c r="CC3" s="7" t="s">
        <v>993</v>
      </c>
      <c r="CD3" s="7" t="s">
        <v>1040</v>
      </c>
      <c r="CE3" s="7">
        <v>150</v>
      </c>
      <c r="CI3" s="7" t="s">
        <v>1041</v>
      </c>
      <c r="CJ3" s="7" t="s">
        <v>972</v>
      </c>
      <c r="CK3" s="7" t="s">
        <v>1042</v>
      </c>
    </row>
    <row r="4" spans="1:89" ht="38.25" x14ac:dyDescent="0.2">
      <c r="A4" s="6" t="s">
        <v>930</v>
      </c>
      <c r="B4" s="7" t="s">
        <v>972</v>
      </c>
      <c r="C4" s="7" t="s">
        <v>1003</v>
      </c>
      <c r="E4" s="7" t="s">
        <v>974</v>
      </c>
      <c r="G4" s="7" t="s">
        <v>1027</v>
      </c>
      <c r="J4" s="7" t="s">
        <v>976</v>
      </c>
      <c r="N4" s="7" t="s">
        <v>977</v>
      </c>
      <c r="P4" s="7" t="s">
        <v>972</v>
      </c>
      <c r="Q4" s="7">
        <v>0</v>
      </c>
      <c r="X4" s="7" t="s">
        <v>1060</v>
      </c>
      <c r="Z4" s="7" t="s">
        <v>976</v>
      </c>
      <c r="AE4" s="7" t="s">
        <v>970</v>
      </c>
      <c r="AF4" s="7" t="s">
        <v>976</v>
      </c>
      <c r="AI4" s="7" t="s">
        <v>976</v>
      </c>
      <c r="AO4" s="7">
        <v>0</v>
      </c>
      <c r="AP4" s="7" t="s">
        <v>982</v>
      </c>
      <c r="BD4" s="7" t="s">
        <v>990</v>
      </c>
      <c r="BE4" s="7" t="s">
        <v>1061</v>
      </c>
      <c r="BF4" s="7" t="s">
        <v>976</v>
      </c>
      <c r="BH4" s="7" t="s">
        <v>985</v>
      </c>
      <c r="BJ4" s="7" t="s">
        <v>972</v>
      </c>
      <c r="BM4" s="7" t="s">
        <v>972</v>
      </c>
      <c r="BO4" s="7" t="s">
        <v>976</v>
      </c>
      <c r="BR4" s="7" t="s">
        <v>972</v>
      </c>
      <c r="BT4" s="7" t="s">
        <v>976</v>
      </c>
      <c r="BX4" s="7" t="s">
        <v>1022</v>
      </c>
      <c r="BZ4" s="7" t="s">
        <v>976</v>
      </c>
      <c r="CJ4" s="7" t="s">
        <v>976</v>
      </c>
    </row>
    <row r="5" spans="1:89" ht="63.75" x14ac:dyDescent="0.2">
      <c r="A5" s="6" t="s">
        <v>927</v>
      </c>
      <c r="B5" s="7" t="s">
        <v>972</v>
      </c>
      <c r="C5" s="7" t="s">
        <v>973</v>
      </c>
      <c r="E5" s="7" t="s">
        <v>974</v>
      </c>
      <c r="G5" s="7" t="s">
        <v>975</v>
      </c>
      <c r="H5" s="7" t="s">
        <v>972</v>
      </c>
      <c r="J5" s="7" t="s">
        <v>976</v>
      </c>
      <c r="N5" s="7" t="s">
        <v>977</v>
      </c>
      <c r="P5" s="7" t="s">
        <v>972</v>
      </c>
      <c r="Q5" s="7">
        <v>0</v>
      </c>
      <c r="R5" s="7" t="s">
        <v>978</v>
      </c>
      <c r="T5" s="7" t="s">
        <v>1010</v>
      </c>
      <c r="V5" s="7" t="s">
        <v>1010</v>
      </c>
      <c r="X5" s="7" t="s">
        <v>1054</v>
      </c>
      <c r="Z5" s="7" t="s">
        <v>976</v>
      </c>
      <c r="AF5" s="7" t="s">
        <v>976</v>
      </c>
      <c r="AI5" s="7" t="s">
        <v>976</v>
      </c>
      <c r="AO5" s="7">
        <v>0</v>
      </c>
      <c r="AP5" s="7" t="s">
        <v>982</v>
      </c>
      <c r="AV5" s="7" t="s">
        <v>982</v>
      </c>
      <c r="AW5" s="7" t="s">
        <v>982</v>
      </c>
      <c r="AY5" s="7" t="s">
        <v>982</v>
      </c>
      <c r="BD5" s="7" t="s">
        <v>990</v>
      </c>
      <c r="BE5" s="7" t="s">
        <v>1055</v>
      </c>
      <c r="BF5" s="7" t="s">
        <v>976</v>
      </c>
      <c r="BH5" s="7" t="s">
        <v>985</v>
      </c>
      <c r="BJ5" s="7" t="s">
        <v>972</v>
      </c>
      <c r="BL5" s="7" t="s">
        <v>1056</v>
      </c>
      <c r="BM5" s="7" t="s">
        <v>976</v>
      </c>
      <c r="BO5" s="7" t="s">
        <v>976</v>
      </c>
      <c r="BR5" s="7" t="s">
        <v>972</v>
      </c>
      <c r="BT5" s="7" t="s">
        <v>976</v>
      </c>
      <c r="BW5" s="7" t="s">
        <v>1057</v>
      </c>
      <c r="BX5" s="7" t="s">
        <v>987</v>
      </c>
      <c r="BZ5" s="7" t="s">
        <v>976</v>
      </c>
      <c r="CJ5" s="7" t="s">
        <v>976</v>
      </c>
    </row>
    <row r="6" spans="1:89" ht="38.25" x14ac:dyDescent="0.2">
      <c r="A6" s="6" t="s">
        <v>914</v>
      </c>
      <c r="B6" s="7" t="s">
        <v>972</v>
      </c>
      <c r="C6" s="7" t="s">
        <v>1003</v>
      </c>
      <c r="E6" s="7" t="s">
        <v>974</v>
      </c>
      <c r="G6" s="7" t="s">
        <v>975</v>
      </c>
      <c r="H6" s="7" t="s">
        <v>972</v>
      </c>
      <c r="J6" s="7" t="s">
        <v>976</v>
      </c>
      <c r="N6" s="7" t="s">
        <v>977</v>
      </c>
      <c r="P6" s="7" t="s">
        <v>976</v>
      </c>
      <c r="R6" s="7" t="s">
        <v>1004</v>
      </c>
      <c r="T6" s="7" t="s">
        <v>1005</v>
      </c>
      <c r="V6" s="7" t="s">
        <v>1005</v>
      </c>
      <c r="X6" s="7" t="s">
        <v>3519</v>
      </c>
      <c r="Z6" s="7" t="s">
        <v>976</v>
      </c>
      <c r="AC6" s="7" t="s">
        <v>1006</v>
      </c>
      <c r="AF6" s="7" t="s">
        <v>976</v>
      </c>
      <c r="AI6" s="7" t="s">
        <v>976</v>
      </c>
      <c r="AO6" s="7">
        <v>0</v>
      </c>
      <c r="AP6" s="7" t="s">
        <v>982</v>
      </c>
      <c r="AV6" s="7" t="s">
        <v>982</v>
      </c>
      <c r="AY6" s="7" t="s">
        <v>982</v>
      </c>
      <c r="BD6" s="7" t="s">
        <v>1007</v>
      </c>
      <c r="BF6" s="7" t="s">
        <v>976</v>
      </c>
      <c r="BH6" s="7" t="s">
        <v>985</v>
      </c>
      <c r="BJ6" s="7" t="s">
        <v>972</v>
      </c>
      <c r="BK6" s="8">
        <v>500</v>
      </c>
      <c r="BL6" s="9">
        <v>1</v>
      </c>
      <c r="BM6" s="7" t="s">
        <v>976</v>
      </c>
      <c r="BO6" s="7" t="s">
        <v>976</v>
      </c>
      <c r="BR6" s="7" t="s">
        <v>972</v>
      </c>
      <c r="BT6" s="7" t="s">
        <v>976</v>
      </c>
      <c r="BW6" s="9">
        <v>1</v>
      </c>
      <c r="BX6" s="7" t="s">
        <v>1008</v>
      </c>
      <c r="BZ6" s="7" t="s">
        <v>976</v>
      </c>
      <c r="CJ6" s="7" t="s">
        <v>976</v>
      </c>
    </row>
    <row r="7" spans="1:89" ht="51" x14ac:dyDescent="0.2">
      <c r="A7" s="6" t="s">
        <v>920</v>
      </c>
      <c r="B7" s="7" t="s">
        <v>972</v>
      </c>
      <c r="C7" s="7" t="s">
        <v>973</v>
      </c>
      <c r="E7" s="7" t="s">
        <v>974</v>
      </c>
      <c r="G7" s="7" t="s">
        <v>975</v>
      </c>
      <c r="H7" s="7" t="s">
        <v>972</v>
      </c>
      <c r="J7" s="7" t="s">
        <v>976</v>
      </c>
      <c r="N7" s="7" t="s">
        <v>977</v>
      </c>
      <c r="P7" s="7" t="s">
        <v>972</v>
      </c>
      <c r="Q7" s="7">
        <v>20</v>
      </c>
      <c r="R7" s="7" t="s">
        <v>978</v>
      </c>
      <c r="T7" s="7" t="s">
        <v>1019</v>
      </c>
      <c r="V7" s="7" t="s">
        <v>1019</v>
      </c>
      <c r="X7" s="7" t="s">
        <v>1031</v>
      </c>
      <c r="Z7" s="7" t="s">
        <v>976</v>
      </c>
      <c r="AE7" s="7" t="s">
        <v>1032</v>
      </c>
      <c r="AF7" s="7" t="s">
        <v>972</v>
      </c>
      <c r="AG7" s="7" t="s">
        <v>990</v>
      </c>
      <c r="AH7" s="7" t="s">
        <v>1033</v>
      </c>
      <c r="AI7" s="7" t="s">
        <v>976</v>
      </c>
      <c r="AO7" s="7">
        <v>0</v>
      </c>
      <c r="AP7" s="7" t="s">
        <v>982</v>
      </c>
      <c r="AV7" s="7" t="s">
        <v>982</v>
      </c>
      <c r="AW7" s="7" t="s">
        <v>982</v>
      </c>
      <c r="AY7" s="7" t="s">
        <v>982</v>
      </c>
      <c r="BD7" s="7" t="s">
        <v>1007</v>
      </c>
      <c r="BF7" s="7" t="s">
        <v>976</v>
      </c>
      <c r="BH7" s="7" t="s">
        <v>1034</v>
      </c>
      <c r="BJ7" s="7" t="s">
        <v>972</v>
      </c>
      <c r="BL7" s="7" t="s">
        <v>1025</v>
      </c>
      <c r="BM7" s="7" t="s">
        <v>976</v>
      </c>
      <c r="BO7" s="7" t="s">
        <v>976</v>
      </c>
      <c r="BR7" s="7" t="s">
        <v>972</v>
      </c>
      <c r="BS7" s="8">
        <v>1000</v>
      </c>
      <c r="BT7" s="7" t="s">
        <v>976</v>
      </c>
      <c r="BW7" s="9">
        <v>1</v>
      </c>
      <c r="BX7" s="7" t="s">
        <v>1022</v>
      </c>
      <c r="BZ7" s="7" t="s">
        <v>976</v>
      </c>
      <c r="CJ7" s="7" t="s">
        <v>976</v>
      </c>
    </row>
    <row r="8" spans="1:89" ht="51" x14ac:dyDescent="0.2">
      <c r="A8" s="6" t="s">
        <v>959</v>
      </c>
      <c r="B8" s="7" t="s">
        <v>972</v>
      </c>
      <c r="C8" s="7" t="s">
        <v>1003</v>
      </c>
      <c r="E8" s="7" t="s">
        <v>974</v>
      </c>
      <c r="G8" s="7" t="s">
        <v>975</v>
      </c>
      <c r="H8" s="7" t="s">
        <v>972</v>
      </c>
      <c r="J8" s="7" t="s">
        <v>976</v>
      </c>
      <c r="N8" s="7" t="s">
        <v>977</v>
      </c>
      <c r="P8" s="7" t="s">
        <v>972</v>
      </c>
      <c r="Q8" s="7">
        <v>20</v>
      </c>
      <c r="R8" s="7" t="s">
        <v>978</v>
      </c>
      <c r="T8" s="7" t="s">
        <v>990</v>
      </c>
      <c r="U8" s="7" t="s">
        <v>1132</v>
      </c>
      <c r="V8" s="7" t="s">
        <v>990</v>
      </c>
      <c r="W8" s="7">
        <v>23</v>
      </c>
      <c r="X8" s="7" t="s">
        <v>1133</v>
      </c>
      <c r="Z8" s="7" t="s">
        <v>976</v>
      </c>
      <c r="AC8" s="7" t="s">
        <v>990</v>
      </c>
      <c r="AD8" s="7" t="s">
        <v>970</v>
      </c>
      <c r="AE8" s="7" t="s">
        <v>970</v>
      </c>
      <c r="AF8" s="7" t="s">
        <v>976</v>
      </c>
      <c r="AI8" s="7" t="s">
        <v>976</v>
      </c>
      <c r="AO8" s="7">
        <v>0</v>
      </c>
      <c r="AP8" s="7" t="s">
        <v>982</v>
      </c>
      <c r="AV8" s="7" t="s">
        <v>982</v>
      </c>
      <c r="AW8" s="7" t="s">
        <v>982</v>
      </c>
      <c r="AY8" s="7" t="s">
        <v>982</v>
      </c>
      <c r="BD8" s="7" t="s">
        <v>984</v>
      </c>
      <c r="BF8" s="7" t="s">
        <v>976</v>
      </c>
      <c r="BH8" s="7" t="s">
        <v>985</v>
      </c>
      <c r="BJ8" s="7" t="s">
        <v>972</v>
      </c>
      <c r="BM8" s="7" t="s">
        <v>972</v>
      </c>
      <c r="BN8" s="8">
        <v>50</v>
      </c>
      <c r="BO8" s="7" t="s">
        <v>976</v>
      </c>
      <c r="BR8" s="7" t="s">
        <v>972</v>
      </c>
      <c r="BT8" s="7" t="s">
        <v>976</v>
      </c>
      <c r="BX8" s="7" t="s">
        <v>987</v>
      </c>
      <c r="BZ8" s="7" t="s">
        <v>976</v>
      </c>
      <c r="CJ8" s="7" t="s">
        <v>976</v>
      </c>
    </row>
    <row r="9" spans="1:89" ht="76.5" x14ac:dyDescent="0.2">
      <c r="A9" s="6" t="s">
        <v>933</v>
      </c>
      <c r="B9" s="7" t="s">
        <v>972</v>
      </c>
      <c r="C9" s="7" t="s">
        <v>1003</v>
      </c>
      <c r="E9" s="7" t="s">
        <v>974</v>
      </c>
      <c r="G9" s="7" t="s">
        <v>975</v>
      </c>
      <c r="H9" s="7" t="s">
        <v>972</v>
      </c>
      <c r="J9" s="7" t="s">
        <v>976</v>
      </c>
      <c r="N9" s="7" t="s">
        <v>977</v>
      </c>
      <c r="P9" s="7" t="s">
        <v>972</v>
      </c>
      <c r="Q9" s="7">
        <v>8</v>
      </c>
      <c r="R9" s="7" t="s">
        <v>978</v>
      </c>
      <c r="T9" s="7" t="s">
        <v>979</v>
      </c>
      <c r="V9" s="7" t="s">
        <v>1010</v>
      </c>
      <c r="X9" s="7" t="s">
        <v>3535</v>
      </c>
      <c r="Z9" s="7" t="s">
        <v>976</v>
      </c>
      <c r="AC9" s="7" t="s">
        <v>990</v>
      </c>
      <c r="AD9" s="7" t="s">
        <v>970</v>
      </c>
      <c r="AE9" s="7" t="s">
        <v>970</v>
      </c>
      <c r="AF9" s="7" t="s">
        <v>976</v>
      </c>
      <c r="AI9" s="7" t="s">
        <v>976</v>
      </c>
      <c r="AO9" s="7">
        <v>0</v>
      </c>
      <c r="AP9" s="7" t="s">
        <v>982</v>
      </c>
      <c r="AV9" s="7" t="s">
        <v>982</v>
      </c>
      <c r="AW9" s="7" t="s">
        <v>982</v>
      </c>
      <c r="AY9" s="7" t="s">
        <v>982</v>
      </c>
      <c r="BD9" s="7" t="s">
        <v>990</v>
      </c>
      <c r="BE9" s="7" t="s">
        <v>1067</v>
      </c>
      <c r="BF9" s="7" t="s">
        <v>976</v>
      </c>
      <c r="BH9" s="7" t="s">
        <v>990</v>
      </c>
      <c r="BI9" s="7" t="s">
        <v>1068</v>
      </c>
      <c r="BJ9" s="7" t="s">
        <v>972</v>
      </c>
      <c r="BK9" s="8">
        <v>200</v>
      </c>
      <c r="BL9" s="7" t="s">
        <v>1018</v>
      </c>
      <c r="BM9" s="7" t="s">
        <v>972</v>
      </c>
      <c r="BN9" s="8">
        <v>50</v>
      </c>
      <c r="BO9" s="7" t="s">
        <v>976</v>
      </c>
      <c r="BR9" s="7" t="s">
        <v>972</v>
      </c>
      <c r="BT9" s="7" t="s">
        <v>976</v>
      </c>
      <c r="BW9" s="7" t="s">
        <v>1018</v>
      </c>
      <c r="BX9" s="7" t="s">
        <v>987</v>
      </c>
      <c r="BZ9" s="7" t="s">
        <v>972</v>
      </c>
      <c r="CA9" s="7">
        <v>200</v>
      </c>
      <c r="CB9" s="7">
        <v>200</v>
      </c>
      <c r="CC9" s="7" t="s">
        <v>982</v>
      </c>
      <c r="CI9" s="7" t="s">
        <v>1069</v>
      </c>
      <c r="CJ9" s="7" t="s">
        <v>976</v>
      </c>
    </row>
    <row r="10" spans="1:89" ht="76.5" x14ac:dyDescent="0.2">
      <c r="A10" s="6" t="s">
        <v>912</v>
      </c>
      <c r="B10" s="7" t="s">
        <v>972</v>
      </c>
      <c r="C10" s="7" t="s">
        <v>973</v>
      </c>
      <c r="E10" s="7" t="s">
        <v>988</v>
      </c>
      <c r="F10" s="7" t="s">
        <v>989</v>
      </c>
      <c r="G10" s="7" t="s">
        <v>975</v>
      </c>
      <c r="H10" s="7" t="s">
        <v>972</v>
      </c>
      <c r="J10" s="7" t="s">
        <v>972</v>
      </c>
      <c r="K10" s="7">
        <v>3</v>
      </c>
      <c r="L10" s="7" t="s">
        <v>972</v>
      </c>
      <c r="N10" s="7" t="s">
        <v>977</v>
      </c>
      <c r="P10" s="7" t="s">
        <v>972</v>
      </c>
      <c r="R10" s="7" t="s">
        <v>978</v>
      </c>
      <c r="T10" s="7" t="s">
        <v>990</v>
      </c>
      <c r="X10" s="7" t="s">
        <v>3524</v>
      </c>
      <c r="Z10" s="7" t="s">
        <v>972</v>
      </c>
      <c r="AA10" s="7" t="s">
        <v>990</v>
      </c>
      <c r="AB10" s="7" t="s">
        <v>991</v>
      </c>
      <c r="AE10" s="7" t="s">
        <v>992</v>
      </c>
      <c r="AF10" s="7" t="s">
        <v>976</v>
      </c>
      <c r="AI10" s="7" t="s">
        <v>976</v>
      </c>
      <c r="AO10" s="7">
        <v>0</v>
      </c>
      <c r="AP10" s="7" t="s">
        <v>993</v>
      </c>
      <c r="AQ10" s="7" t="s">
        <v>994</v>
      </c>
      <c r="AU10" s="7" t="s">
        <v>995</v>
      </c>
      <c r="AV10" s="7" t="s">
        <v>993</v>
      </c>
      <c r="AW10" s="7" t="s">
        <v>993</v>
      </c>
      <c r="AY10" s="7" t="s">
        <v>993</v>
      </c>
      <c r="BD10" s="7" t="s">
        <v>984</v>
      </c>
      <c r="BF10" s="7" t="s">
        <v>972</v>
      </c>
      <c r="BG10" s="8">
        <v>5500</v>
      </c>
      <c r="BH10" s="7" t="s">
        <v>990</v>
      </c>
      <c r="BI10" s="7" t="s">
        <v>996</v>
      </c>
      <c r="BJ10" s="7" t="s">
        <v>972</v>
      </c>
      <c r="BM10" s="7" t="s">
        <v>972</v>
      </c>
      <c r="BN10" s="8">
        <v>250</v>
      </c>
      <c r="BO10" s="7" t="s">
        <v>976</v>
      </c>
      <c r="BR10" s="7" t="s">
        <v>972</v>
      </c>
      <c r="BS10" s="8">
        <v>1500</v>
      </c>
      <c r="BX10" s="7" t="s">
        <v>990</v>
      </c>
      <c r="BY10" s="7" t="s">
        <v>997</v>
      </c>
      <c r="BZ10" s="7" t="s">
        <v>976</v>
      </c>
      <c r="CJ10" s="7" t="s">
        <v>976</v>
      </c>
    </row>
    <row r="11" spans="1:89" ht="63.75" x14ac:dyDescent="0.2">
      <c r="A11" s="6" t="s">
        <v>936</v>
      </c>
      <c r="B11" s="7" t="s">
        <v>972</v>
      </c>
      <c r="C11" s="7" t="s">
        <v>1003</v>
      </c>
      <c r="E11" s="7" t="s">
        <v>974</v>
      </c>
      <c r="G11" s="7" t="s">
        <v>975</v>
      </c>
      <c r="H11" s="7" t="s">
        <v>972</v>
      </c>
      <c r="J11" s="7" t="s">
        <v>976</v>
      </c>
      <c r="N11" s="7" t="s">
        <v>977</v>
      </c>
      <c r="P11" s="7" t="s">
        <v>972</v>
      </c>
      <c r="Q11" s="7">
        <v>20</v>
      </c>
      <c r="R11" s="7" t="s">
        <v>1074</v>
      </c>
      <c r="S11" s="7" t="s">
        <v>1075</v>
      </c>
      <c r="T11" s="7" t="s">
        <v>1005</v>
      </c>
      <c r="V11" s="7" t="s">
        <v>1005</v>
      </c>
      <c r="X11" s="7" t="s">
        <v>3532</v>
      </c>
      <c r="Z11" s="7" t="s">
        <v>976</v>
      </c>
      <c r="AF11" s="7" t="s">
        <v>976</v>
      </c>
      <c r="AI11" s="7" t="s">
        <v>976</v>
      </c>
      <c r="AO11" s="7">
        <v>0</v>
      </c>
      <c r="AP11" s="7" t="s">
        <v>982</v>
      </c>
      <c r="AV11" s="7" t="s">
        <v>982</v>
      </c>
      <c r="AW11" s="7" t="s">
        <v>982</v>
      </c>
      <c r="AY11" s="7" t="s">
        <v>982</v>
      </c>
      <c r="BD11" s="7" t="s">
        <v>984</v>
      </c>
      <c r="BF11" s="7" t="s">
        <v>976</v>
      </c>
      <c r="BH11" s="7" t="s">
        <v>990</v>
      </c>
      <c r="BI11" s="7" t="s">
        <v>1076</v>
      </c>
      <c r="BJ11" s="7" t="s">
        <v>976</v>
      </c>
      <c r="BL11" s="7">
        <v>0</v>
      </c>
      <c r="BM11" s="7" t="s">
        <v>976</v>
      </c>
      <c r="BO11" s="7" t="s">
        <v>976</v>
      </c>
      <c r="BR11" s="7" t="s">
        <v>972</v>
      </c>
      <c r="BT11" s="7" t="s">
        <v>976</v>
      </c>
      <c r="BW11" s="7" t="s">
        <v>1077</v>
      </c>
      <c r="BX11" s="7" t="s">
        <v>1022</v>
      </c>
      <c r="BZ11" s="7" t="s">
        <v>976</v>
      </c>
      <c r="CJ11" s="7" t="s">
        <v>976</v>
      </c>
    </row>
    <row r="12" spans="1:89" ht="51" x14ac:dyDescent="0.2">
      <c r="A12" s="6" t="s">
        <v>911</v>
      </c>
      <c r="B12" s="7" t="s">
        <v>972</v>
      </c>
      <c r="C12" s="7" t="s">
        <v>973</v>
      </c>
      <c r="E12" s="7" t="s">
        <v>974</v>
      </c>
      <c r="G12" s="7" t="s">
        <v>975</v>
      </c>
      <c r="H12" s="7" t="s">
        <v>972</v>
      </c>
      <c r="J12" s="7" t="s">
        <v>976</v>
      </c>
      <c r="N12" s="7" t="s">
        <v>977</v>
      </c>
      <c r="P12" s="7" t="s">
        <v>972</v>
      </c>
      <c r="Q12" s="7">
        <v>0</v>
      </c>
      <c r="R12" s="7" t="s">
        <v>978</v>
      </c>
      <c r="T12" s="7" t="s">
        <v>979</v>
      </c>
      <c r="V12" s="7" t="s">
        <v>979</v>
      </c>
      <c r="X12" s="7" t="s">
        <v>980</v>
      </c>
      <c r="Z12" s="7" t="s">
        <v>976</v>
      </c>
      <c r="AE12" s="7" t="s">
        <v>981</v>
      </c>
      <c r="AF12" s="7" t="s">
        <v>976</v>
      </c>
      <c r="AI12" s="7" t="s">
        <v>976</v>
      </c>
      <c r="AO12" s="7">
        <v>90</v>
      </c>
      <c r="AP12" s="7" t="s">
        <v>982</v>
      </c>
      <c r="AV12" s="7" t="s">
        <v>983</v>
      </c>
      <c r="AW12" s="7" t="s">
        <v>983</v>
      </c>
      <c r="AY12" s="7" t="s">
        <v>983</v>
      </c>
      <c r="BD12" s="7" t="s">
        <v>984</v>
      </c>
      <c r="BF12" s="7" t="s">
        <v>976</v>
      </c>
      <c r="BH12" s="7" t="s">
        <v>985</v>
      </c>
      <c r="BJ12" s="7" t="s">
        <v>976</v>
      </c>
      <c r="BL12" s="7" t="s">
        <v>986</v>
      </c>
      <c r="BM12" s="7" t="s">
        <v>976</v>
      </c>
      <c r="BO12" s="7" t="s">
        <v>976</v>
      </c>
      <c r="BR12" s="7" t="s">
        <v>972</v>
      </c>
      <c r="BS12" s="8">
        <v>1500</v>
      </c>
      <c r="BT12" s="7" t="s">
        <v>976</v>
      </c>
      <c r="BW12" s="9">
        <v>1</v>
      </c>
      <c r="BX12" s="7" t="s">
        <v>987</v>
      </c>
      <c r="BZ12" s="7" t="s">
        <v>976</v>
      </c>
      <c r="CJ12" s="7" t="s">
        <v>976</v>
      </c>
    </row>
    <row r="13" spans="1:89" ht="38.25" x14ac:dyDescent="0.2">
      <c r="A13" s="6" t="s">
        <v>928</v>
      </c>
      <c r="B13" s="7" t="s">
        <v>972</v>
      </c>
      <c r="C13" s="7" t="s">
        <v>1003</v>
      </c>
      <c r="E13" s="7" t="s">
        <v>974</v>
      </c>
      <c r="G13" s="7" t="s">
        <v>975</v>
      </c>
      <c r="H13" s="7" t="s">
        <v>972</v>
      </c>
      <c r="J13" s="7" t="s">
        <v>976</v>
      </c>
      <c r="N13" s="7" t="s">
        <v>977</v>
      </c>
      <c r="P13" s="7" t="s">
        <v>972</v>
      </c>
      <c r="R13" s="7" t="s">
        <v>978</v>
      </c>
      <c r="T13" s="7" t="s">
        <v>1005</v>
      </c>
      <c r="V13" s="7" t="s">
        <v>1005</v>
      </c>
      <c r="X13" s="7" t="s">
        <v>3512</v>
      </c>
      <c r="Z13" s="7" t="s">
        <v>976</v>
      </c>
      <c r="AF13" s="7" t="s">
        <v>976</v>
      </c>
      <c r="AI13" s="7" t="s">
        <v>976</v>
      </c>
      <c r="AP13" s="7" t="s">
        <v>982</v>
      </c>
      <c r="AV13" s="7" t="s">
        <v>982</v>
      </c>
      <c r="AW13" s="7" t="s">
        <v>982</v>
      </c>
      <c r="AY13" s="7" t="s">
        <v>982</v>
      </c>
      <c r="BD13" s="7" t="s">
        <v>984</v>
      </c>
      <c r="BF13" s="7" t="s">
        <v>976</v>
      </c>
      <c r="BJ13" s="7" t="s">
        <v>972</v>
      </c>
      <c r="BM13" s="7" t="s">
        <v>976</v>
      </c>
      <c r="BO13" s="7" t="s">
        <v>976</v>
      </c>
      <c r="BR13" s="7" t="s">
        <v>972</v>
      </c>
      <c r="BS13" s="8">
        <v>1500</v>
      </c>
      <c r="BT13" s="7" t="s">
        <v>976</v>
      </c>
      <c r="BX13" s="7" t="s">
        <v>1045</v>
      </c>
      <c r="BZ13" s="7" t="s">
        <v>976</v>
      </c>
      <c r="CJ13" s="7" t="s">
        <v>976</v>
      </c>
    </row>
    <row r="14" spans="1:89" ht="38.25" x14ac:dyDescent="0.2">
      <c r="A14" s="6" t="s">
        <v>926</v>
      </c>
      <c r="B14" s="7" t="s">
        <v>972</v>
      </c>
      <c r="C14" s="7" t="s">
        <v>1003</v>
      </c>
      <c r="E14" s="7" t="s">
        <v>974</v>
      </c>
      <c r="G14" s="7" t="s">
        <v>975</v>
      </c>
      <c r="H14" s="7" t="s">
        <v>972</v>
      </c>
      <c r="J14" s="7" t="s">
        <v>976</v>
      </c>
      <c r="N14" s="7" t="s">
        <v>977</v>
      </c>
      <c r="P14" s="7" t="s">
        <v>976</v>
      </c>
      <c r="R14" s="7" t="s">
        <v>1004</v>
      </c>
      <c r="T14" s="7" t="s">
        <v>1019</v>
      </c>
      <c r="V14" s="7" t="s">
        <v>1019</v>
      </c>
      <c r="X14" s="7" t="s">
        <v>3509</v>
      </c>
      <c r="Z14" s="7" t="s">
        <v>976</v>
      </c>
      <c r="AC14" s="7" t="s">
        <v>990</v>
      </c>
      <c r="AE14" s="7" t="s">
        <v>1053</v>
      </c>
      <c r="AF14" s="7" t="s">
        <v>976</v>
      </c>
      <c r="AI14" s="7" t="s">
        <v>976</v>
      </c>
      <c r="AO14" s="7">
        <v>0</v>
      </c>
      <c r="AP14" s="7" t="s">
        <v>982</v>
      </c>
      <c r="AV14" s="7" t="s">
        <v>993</v>
      </c>
      <c r="AY14" s="7" t="s">
        <v>993</v>
      </c>
      <c r="BD14" s="7" t="s">
        <v>1007</v>
      </c>
      <c r="BF14" s="7" t="s">
        <v>976</v>
      </c>
      <c r="BH14" s="7" t="s">
        <v>985</v>
      </c>
      <c r="BJ14" s="7" t="s">
        <v>976</v>
      </c>
      <c r="BL14" s="9">
        <v>1</v>
      </c>
      <c r="BM14" s="7" t="s">
        <v>976</v>
      </c>
      <c r="BO14" s="7" t="s">
        <v>976</v>
      </c>
      <c r="BR14" s="7" t="s">
        <v>972</v>
      </c>
      <c r="BT14" s="7" t="s">
        <v>976</v>
      </c>
      <c r="BW14" s="9">
        <v>1</v>
      </c>
      <c r="BX14" s="7" t="s">
        <v>987</v>
      </c>
      <c r="BZ14" s="7" t="s">
        <v>976</v>
      </c>
      <c r="CJ14" s="7" t="s">
        <v>976</v>
      </c>
    </row>
    <row r="15" spans="1:89" ht="51" x14ac:dyDescent="0.2">
      <c r="A15" s="6" t="s">
        <v>948</v>
      </c>
      <c r="B15" s="7" t="s">
        <v>972</v>
      </c>
      <c r="C15" s="7" t="s">
        <v>1003</v>
      </c>
      <c r="E15" s="7" t="s">
        <v>974</v>
      </c>
      <c r="G15" s="7" t="s">
        <v>975</v>
      </c>
      <c r="H15" s="7" t="s">
        <v>972</v>
      </c>
      <c r="J15" s="7" t="s">
        <v>976</v>
      </c>
      <c r="N15" s="7" t="s">
        <v>977</v>
      </c>
      <c r="P15" s="7" t="s">
        <v>972</v>
      </c>
      <c r="Q15" s="7">
        <v>1</v>
      </c>
      <c r="R15" s="7" t="s">
        <v>978</v>
      </c>
      <c r="T15" s="7" t="s">
        <v>1010</v>
      </c>
      <c r="V15" s="7" t="s">
        <v>1010</v>
      </c>
      <c r="X15" s="7" t="s">
        <v>1103</v>
      </c>
      <c r="Z15" s="7" t="s">
        <v>976</v>
      </c>
      <c r="AE15" s="7" t="s">
        <v>1104</v>
      </c>
      <c r="AF15" s="7" t="s">
        <v>976</v>
      </c>
      <c r="AI15" s="7" t="s">
        <v>976</v>
      </c>
      <c r="AO15" s="7">
        <v>0</v>
      </c>
      <c r="AP15" s="7" t="s">
        <v>982</v>
      </c>
      <c r="AV15" s="7" t="s">
        <v>982</v>
      </c>
      <c r="AW15" s="7" t="s">
        <v>982</v>
      </c>
      <c r="AY15" s="7" t="s">
        <v>982</v>
      </c>
      <c r="BD15" s="7" t="s">
        <v>1007</v>
      </c>
      <c r="BF15" s="7" t="s">
        <v>976</v>
      </c>
      <c r="BH15" s="7" t="s">
        <v>985</v>
      </c>
      <c r="BJ15" s="7" t="s">
        <v>972</v>
      </c>
      <c r="BL15" s="7" t="s">
        <v>1084</v>
      </c>
      <c r="BM15" s="7" t="s">
        <v>972</v>
      </c>
      <c r="BN15" s="8">
        <v>100</v>
      </c>
      <c r="BO15" s="7" t="s">
        <v>976</v>
      </c>
      <c r="BR15" s="7" t="s">
        <v>972</v>
      </c>
      <c r="BS15" s="8">
        <v>1000</v>
      </c>
      <c r="BT15" s="7" t="s">
        <v>976</v>
      </c>
      <c r="BW15" s="8">
        <v>1000</v>
      </c>
      <c r="BX15" s="7" t="s">
        <v>987</v>
      </c>
      <c r="BZ15" s="7" t="s">
        <v>972</v>
      </c>
      <c r="CA15" s="7">
        <v>100</v>
      </c>
      <c r="CC15" s="7" t="s">
        <v>983</v>
      </c>
      <c r="CI15" s="7" t="s">
        <v>987</v>
      </c>
      <c r="CJ15" s="7" t="s">
        <v>976</v>
      </c>
    </row>
    <row r="16" spans="1:89" ht="63.75" x14ac:dyDescent="0.2">
      <c r="A16" s="6" t="s">
        <v>932</v>
      </c>
      <c r="B16" s="7" t="s">
        <v>972</v>
      </c>
      <c r="C16" s="7" t="s">
        <v>1003</v>
      </c>
      <c r="E16" s="7" t="s">
        <v>974</v>
      </c>
      <c r="G16" s="7" t="s">
        <v>975</v>
      </c>
      <c r="H16" s="7" t="s">
        <v>972</v>
      </c>
      <c r="J16" s="7" t="s">
        <v>976</v>
      </c>
      <c r="N16" s="7" t="s">
        <v>977</v>
      </c>
      <c r="P16" s="7" t="s">
        <v>972</v>
      </c>
      <c r="Q16" s="7">
        <v>20</v>
      </c>
      <c r="R16" s="7" t="s">
        <v>978</v>
      </c>
      <c r="T16" s="7" t="s">
        <v>1019</v>
      </c>
      <c r="V16" s="7" t="s">
        <v>1005</v>
      </c>
      <c r="X16" s="7" t="s">
        <v>1063</v>
      </c>
      <c r="Z16" s="7" t="s">
        <v>976</v>
      </c>
      <c r="AE16" s="7" t="s">
        <v>1064</v>
      </c>
      <c r="AF16" s="7" t="s">
        <v>976</v>
      </c>
      <c r="AI16" s="7" t="s">
        <v>976</v>
      </c>
      <c r="AO16" s="7">
        <v>0</v>
      </c>
      <c r="AP16" s="7" t="s">
        <v>982</v>
      </c>
      <c r="AV16" s="7" t="s">
        <v>993</v>
      </c>
      <c r="AW16" s="7" t="s">
        <v>993</v>
      </c>
      <c r="AY16" s="7" t="s">
        <v>993</v>
      </c>
      <c r="BD16" s="7" t="s">
        <v>984</v>
      </c>
      <c r="BF16" s="7" t="s">
        <v>972</v>
      </c>
      <c r="BH16" s="7" t="s">
        <v>985</v>
      </c>
      <c r="BJ16" s="7" t="s">
        <v>972</v>
      </c>
      <c r="BK16" s="8">
        <v>365</v>
      </c>
      <c r="BL16" s="7" t="s">
        <v>1065</v>
      </c>
      <c r="BM16" s="7" t="s">
        <v>976</v>
      </c>
      <c r="BO16" s="7" t="s">
        <v>972</v>
      </c>
      <c r="BP16" s="7">
        <v>100</v>
      </c>
      <c r="BQ16" s="7">
        <v>100</v>
      </c>
      <c r="BR16" s="7" t="s">
        <v>972</v>
      </c>
      <c r="BT16" s="7" t="s">
        <v>972</v>
      </c>
      <c r="BU16" s="7">
        <v>100</v>
      </c>
      <c r="BV16" s="7">
        <v>100</v>
      </c>
      <c r="BW16" s="9">
        <v>1</v>
      </c>
      <c r="BX16" s="7" t="s">
        <v>990</v>
      </c>
      <c r="BY16" s="7" t="s">
        <v>1066</v>
      </c>
      <c r="BZ16" s="7" t="s">
        <v>976</v>
      </c>
      <c r="CJ16" s="7" t="s">
        <v>976</v>
      </c>
    </row>
    <row r="17" spans="1:88" ht="51" x14ac:dyDescent="0.2">
      <c r="A17" s="6" t="s">
        <v>941</v>
      </c>
      <c r="B17" s="7" t="s">
        <v>972</v>
      </c>
      <c r="C17" s="7" t="s">
        <v>1003</v>
      </c>
      <c r="E17" s="7" t="s">
        <v>974</v>
      </c>
      <c r="G17" s="7" t="s">
        <v>975</v>
      </c>
      <c r="H17" s="7" t="s">
        <v>972</v>
      </c>
      <c r="J17" s="7" t="s">
        <v>976</v>
      </c>
      <c r="N17" s="7" t="s">
        <v>977</v>
      </c>
      <c r="P17" s="7" t="s">
        <v>972</v>
      </c>
      <c r="Q17" s="7">
        <v>0</v>
      </c>
      <c r="R17" s="7" t="s">
        <v>978</v>
      </c>
      <c r="T17" s="7" t="s">
        <v>979</v>
      </c>
      <c r="V17" s="7" t="s">
        <v>1005</v>
      </c>
      <c r="X17" s="7" t="s">
        <v>1090</v>
      </c>
      <c r="Z17" s="7" t="s">
        <v>976</v>
      </c>
      <c r="AE17" s="7" t="s">
        <v>970</v>
      </c>
      <c r="AF17" s="7" t="s">
        <v>976</v>
      </c>
      <c r="AI17" s="7" t="s">
        <v>976</v>
      </c>
      <c r="AO17" s="7">
        <v>0</v>
      </c>
      <c r="AP17" s="7" t="s">
        <v>982</v>
      </c>
      <c r="AV17" s="7" t="s">
        <v>982</v>
      </c>
      <c r="AW17" s="7" t="s">
        <v>982</v>
      </c>
      <c r="AY17" s="7" t="s">
        <v>982</v>
      </c>
      <c r="BD17" s="7" t="s">
        <v>984</v>
      </c>
      <c r="BF17" s="7" t="s">
        <v>976</v>
      </c>
      <c r="BH17" s="7" t="s">
        <v>985</v>
      </c>
      <c r="BJ17" s="7" t="s">
        <v>972</v>
      </c>
      <c r="BM17" s="7" t="s">
        <v>976</v>
      </c>
      <c r="BO17" s="7" t="s">
        <v>976</v>
      </c>
      <c r="BR17" s="7" t="s">
        <v>972</v>
      </c>
      <c r="BT17" s="7" t="s">
        <v>976</v>
      </c>
      <c r="BX17" s="7" t="s">
        <v>1022</v>
      </c>
      <c r="BZ17" s="7" t="s">
        <v>976</v>
      </c>
      <c r="CJ17" s="7" t="s">
        <v>976</v>
      </c>
    </row>
    <row r="18" spans="1:88" ht="38.25" x14ac:dyDescent="0.2">
      <c r="A18" s="6" t="s">
        <v>956</v>
      </c>
      <c r="B18" s="7" t="s">
        <v>972</v>
      </c>
      <c r="C18" s="7" t="s">
        <v>1003</v>
      </c>
      <c r="E18" s="7" t="s">
        <v>974</v>
      </c>
      <c r="G18" s="7" t="s">
        <v>975</v>
      </c>
      <c r="H18" s="7" t="s">
        <v>972</v>
      </c>
      <c r="J18" s="7" t="s">
        <v>976</v>
      </c>
      <c r="N18" s="7" t="s">
        <v>977</v>
      </c>
      <c r="P18" s="7" t="s">
        <v>972</v>
      </c>
      <c r="Q18" s="7">
        <v>0</v>
      </c>
      <c r="R18" s="7" t="s">
        <v>978</v>
      </c>
      <c r="T18" s="7" t="s">
        <v>979</v>
      </c>
      <c r="V18" s="7" t="s">
        <v>1005</v>
      </c>
      <c r="X18" s="7" t="s">
        <v>1126</v>
      </c>
      <c r="Z18" s="7" t="s">
        <v>976</v>
      </c>
      <c r="AF18" s="7" t="s">
        <v>976</v>
      </c>
      <c r="AI18" s="7" t="s">
        <v>976</v>
      </c>
      <c r="AO18" s="7">
        <v>0</v>
      </c>
      <c r="AP18" s="7" t="s">
        <v>982</v>
      </c>
      <c r="AV18" s="7" t="s">
        <v>982</v>
      </c>
      <c r="AW18" s="7" t="s">
        <v>982</v>
      </c>
      <c r="AY18" s="7" t="s">
        <v>982</v>
      </c>
      <c r="BD18" s="7" t="s">
        <v>984</v>
      </c>
      <c r="BF18" s="7" t="s">
        <v>976</v>
      </c>
      <c r="BH18" s="7" t="s">
        <v>1034</v>
      </c>
      <c r="BJ18" s="7" t="s">
        <v>972</v>
      </c>
      <c r="BK18" s="8">
        <v>200</v>
      </c>
      <c r="BM18" s="7" t="s">
        <v>972</v>
      </c>
      <c r="BN18" s="8">
        <v>250</v>
      </c>
      <c r="BO18" s="7" t="s">
        <v>976</v>
      </c>
      <c r="BR18" s="7" t="s">
        <v>972</v>
      </c>
      <c r="BT18" s="7" t="s">
        <v>976</v>
      </c>
      <c r="BW18" s="8">
        <v>100000</v>
      </c>
      <c r="BX18" s="7" t="s">
        <v>987</v>
      </c>
      <c r="BZ18" s="7" t="s">
        <v>976</v>
      </c>
      <c r="CJ18" s="7" t="s">
        <v>976</v>
      </c>
    </row>
    <row r="19" spans="1:88" ht="51" x14ac:dyDescent="0.2">
      <c r="A19" s="6" t="s">
        <v>934</v>
      </c>
      <c r="B19" s="7" t="s">
        <v>972</v>
      </c>
      <c r="C19" s="7" t="s">
        <v>1003</v>
      </c>
      <c r="E19" s="7" t="s">
        <v>974</v>
      </c>
      <c r="G19" s="7" t="s">
        <v>1027</v>
      </c>
      <c r="J19" s="7" t="s">
        <v>976</v>
      </c>
      <c r="N19" s="7" t="s">
        <v>977</v>
      </c>
      <c r="P19" s="7" t="s">
        <v>1023</v>
      </c>
      <c r="X19" s="7" t="s">
        <v>1070</v>
      </c>
      <c r="Z19" s="7" t="s">
        <v>972</v>
      </c>
      <c r="AA19" s="7" t="s">
        <v>1071</v>
      </c>
      <c r="AF19" s="7" t="s">
        <v>976</v>
      </c>
      <c r="AI19" s="7" t="s">
        <v>976</v>
      </c>
      <c r="AO19" s="7">
        <v>0</v>
      </c>
      <c r="AP19" s="7" t="s">
        <v>982</v>
      </c>
      <c r="BD19" s="7" t="s">
        <v>984</v>
      </c>
      <c r="BF19" s="7" t="s">
        <v>976</v>
      </c>
      <c r="BH19" s="7" t="s">
        <v>985</v>
      </c>
      <c r="BJ19" s="7" t="s">
        <v>976</v>
      </c>
      <c r="BL19" s="7" t="s">
        <v>1072</v>
      </c>
      <c r="BM19" s="7" t="s">
        <v>976</v>
      </c>
      <c r="BO19" s="7" t="s">
        <v>976</v>
      </c>
      <c r="BR19" s="7" t="s">
        <v>972</v>
      </c>
      <c r="BT19" s="7" t="s">
        <v>972</v>
      </c>
      <c r="BU19" s="7">
        <v>100</v>
      </c>
      <c r="BV19" s="7">
        <v>100</v>
      </c>
      <c r="BW19" s="7" t="s">
        <v>1073</v>
      </c>
      <c r="BX19" s="7" t="s">
        <v>1022</v>
      </c>
      <c r="BZ19" s="7" t="s">
        <v>976</v>
      </c>
      <c r="CJ19" s="7" t="s">
        <v>976</v>
      </c>
    </row>
    <row r="20" spans="1:88" ht="51" x14ac:dyDescent="0.2">
      <c r="A20" s="6" t="s">
        <v>961</v>
      </c>
      <c r="B20" s="7" t="s">
        <v>972</v>
      </c>
      <c r="C20" s="7" t="s">
        <v>1003</v>
      </c>
      <c r="E20" s="7" t="s">
        <v>974</v>
      </c>
      <c r="G20" s="7" t="s">
        <v>975</v>
      </c>
      <c r="H20" s="7" t="s">
        <v>972</v>
      </c>
      <c r="J20" s="7" t="s">
        <v>976</v>
      </c>
      <c r="N20" s="7" t="s">
        <v>977</v>
      </c>
      <c r="P20" s="7" t="s">
        <v>972</v>
      </c>
      <c r="Q20" s="7">
        <v>0</v>
      </c>
      <c r="R20" s="7" t="s">
        <v>978</v>
      </c>
      <c r="T20" s="7" t="s">
        <v>979</v>
      </c>
      <c r="V20" s="7" t="s">
        <v>1005</v>
      </c>
      <c r="X20" s="7" t="s">
        <v>1134</v>
      </c>
      <c r="Z20" s="7" t="s">
        <v>976</v>
      </c>
      <c r="AF20" s="7" t="s">
        <v>976</v>
      </c>
      <c r="AI20" s="7" t="s">
        <v>976</v>
      </c>
      <c r="AO20" s="7">
        <v>0</v>
      </c>
      <c r="AP20" s="7" t="s">
        <v>982</v>
      </c>
      <c r="AV20" s="7" t="s">
        <v>982</v>
      </c>
      <c r="AW20" s="7" t="s">
        <v>982</v>
      </c>
      <c r="AY20" s="7" t="s">
        <v>982</v>
      </c>
      <c r="BD20" s="7" t="s">
        <v>984</v>
      </c>
      <c r="BF20" s="7" t="s">
        <v>976</v>
      </c>
      <c r="BH20" s="7" t="s">
        <v>985</v>
      </c>
      <c r="BJ20" s="7" t="s">
        <v>976</v>
      </c>
      <c r="BM20" s="7" t="s">
        <v>972</v>
      </c>
      <c r="BN20" s="8">
        <v>100</v>
      </c>
      <c r="BO20" s="7" t="s">
        <v>976</v>
      </c>
      <c r="BR20" s="7" t="s">
        <v>972</v>
      </c>
      <c r="BT20" s="7" t="s">
        <v>976</v>
      </c>
      <c r="BX20" s="7" t="s">
        <v>990</v>
      </c>
      <c r="BY20" s="7" t="s">
        <v>1066</v>
      </c>
      <c r="BZ20" s="7" t="s">
        <v>976</v>
      </c>
      <c r="CJ20" s="7" t="s">
        <v>976</v>
      </c>
    </row>
    <row r="21" spans="1:88" ht="51" x14ac:dyDescent="0.2">
      <c r="A21" s="6" t="s">
        <v>939</v>
      </c>
      <c r="B21" s="7" t="s">
        <v>972</v>
      </c>
      <c r="C21" s="7" t="s">
        <v>1003</v>
      </c>
      <c r="E21" s="7" t="s">
        <v>974</v>
      </c>
      <c r="G21" s="7" t="s">
        <v>975</v>
      </c>
      <c r="H21" s="7" t="s">
        <v>972</v>
      </c>
      <c r="J21" s="7" t="s">
        <v>976</v>
      </c>
      <c r="N21" s="7" t="s">
        <v>977</v>
      </c>
      <c r="P21" s="7" t="s">
        <v>972</v>
      </c>
      <c r="Q21" s="7">
        <v>1</v>
      </c>
      <c r="R21" s="7" t="s">
        <v>1074</v>
      </c>
      <c r="S21" s="7" t="s">
        <v>1086</v>
      </c>
      <c r="T21" s="7" t="s">
        <v>1010</v>
      </c>
      <c r="V21" s="7" t="s">
        <v>1010</v>
      </c>
      <c r="X21" s="7" t="s">
        <v>3522</v>
      </c>
      <c r="Z21" s="7" t="s">
        <v>972</v>
      </c>
      <c r="AA21" s="7" t="s">
        <v>1071</v>
      </c>
      <c r="AE21" s="7" t="s">
        <v>1087</v>
      </c>
      <c r="AF21" s="7" t="s">
        <v>976</v>
      </c>
      <c r="AI21" s="7" t="s">
        <v>976</v>
      </c>
      <c r="AO21" s="7">
        <v>0</v>
      </c>
      <c r="AP21" s="7" t="s">
        <v>982</v>
      </c>
      <c r="AV21" s="7" t="s">
        <v>982</v>
      </c>
      <c r="AW21" s="7" t="s">
        <v>982</v>
      </c>
      <c r="AY21" s="7" t="s">
        <v>982</v>
      </c>
      <c r="BD21" s="7" t="s">
        <v>990</v>
      </c>
      <c r="BE21" s="7" t="s">
        <v>1088</v>
      </c>
      <c r="BF21" s="7" t="s">
        <v>976</v>
      </c>
      <c r="BH21" s="7" t="s">
        <v>1034</v>
      </c>
      <c r="BJ21" s="7" t="s">
        <v>972</v>
      </c>
      <c r="BK21" s="8">
        <v>100</v>
      </c>
      <c r="BL21" s="9">
        <v>1</v>
      </c>
      <c r="BM21" s="7" t="s">
        <v>976</v>
      </c>
      <c r="BO21" s="7" t="s">
        <v>976</v>
      </c>
      <c r="BR21" s="7" t="s">
        <v>972</v>
      </c>
      <c r="BS21" s="8">
        <v>1500</v>
      </c>
      <c r="BT21" s="7" t="s">
        <v>976</v>
      </c>
      <c r="BW21" s="9">
        <v>1</v>
      </c>
      <c r="BX21" s="7" t="s">
        <v>987</v>
      </c>
      <c r="BZ21" s="7" t="s">
        <v>976</v>
      </c>
      <c r="CJ21" s="7" t="s">
        <v>976</v>
      </c>
    </row>
    <row r="22" spans="1:88" ht="51" x14ac:dyDescent="0.2">
      <c r="A22" s="6" t="s">
        <v>938</v>
      </c>
      <c r="B22" s="7" t="s">
        <v>972</v>
      </c>
      <c r="C22" s="7" t="s">
        <v>1003</v>
      </c>
      <c r="E22" s="7" t="s">
        <v>974</v>
      </c>
      <c r="G22" s="7" t="s">
        <v>975</v>
      </c>
      <c r="H22" s="7" t="s">
        <v>972</v>
      </c>
      <c r="J22" s="7" t="s">
        <v>976</v>
      </c>
      <c r="N22" s="7" t="s">
        <v>977</v>
      </c>
      <c r="P22" s="7" t="s">
        <v>972</v>
      </c>
      <c r="Q22" s="7">
        <v>7</v>
      </c>
      <c r="R22" s="7" t="s">
        <v>978</v>
      </c>
      <c r="T22" s="7" t="s">
        <v>1019</v>
      </c>
      <c r="V22" s="7" t="s">
        <v>1010</v>
      </c>
      <c r="X22" s="7" t="s">
        <v>3507</v>
      </c>
      <c r="Z22" s="7" t="s">
        <v>972</v>
      </c>
      <c r="AA22" s="7" t="s">
        <v>3538</v>
      </c>
      <c r="AC22" s="7" t="s">
        <v>1082</v>
      </c>
      <c r="AE22" s="7" t="s">
        <v>1083</v>
      </c>
      <c r="AF22" s="7" t="s">
        <v>976</v>
      </c>
      <c r="AI22" s="7" t="s">
        <v>976</v>
      </c>
      <c r="BD22" s="7" t="s">
        <v>984</v>
      </c>
      <c r="BF22" s="7" t="s">
        <v>976</v>
      </c>
      <c r="BH22" s="7" t="s">
        <v>985</v>
      </c>
      <c r="BJ22" s="7" t="s">
        <v>976</v>
      </c>
      <c r="BL22" s="7" t="s">
        <v>1084</v>
      </c>
      <c r="BM22" s="7" t="s">
        <v>972</v>
      </c>
      <c r="BN22" s="8">
        <v>150</v>
      </c>
      <c r="BO22" s="7" t="s">
        <v>976</v>
      </c>
      <c r="BR22" s="7" t="s">
        <v>972</v>
      </c>
      <c r="BT22" s="7" t="s">
        <v>976</v>
      </c>
      <c r="BW22" s="7" t="s">
        <v>1085</v>
      </c>
      <c r="BX22" s="7" t="s">
        <v>987</v>
      </c>
      <c r="BZ22" s="7" t="s">
        <v>976</v>
      </c>
      <c r="CJ22" s="7" t="s">
        <v>976</v>
      </c>
    </row>
    <row r="23" spans="1:88" ht="51" x14ac:dyDescent="0.2">
      <c r="A23" s="6" t="s">
        <v>947</v>
      </c>
      <c r="B23" s="7" t="s">
        <v>972</v>
      </c>
      <c r="C23" s="7" t="s">
        <v>1003</v>
      </c>
      <c r="E23" s="7" t="s">
        <v>974</v>
      </c>
      <c r="G23" s="7" t="s">
        <v>975</v>
      </c>
      <c r="H23" s="7" t="s">
        <v>972</v>
      </c>
      <c r="J23" s="7" t="s">
        <v>976</v>
      </c>
      <c r="N23" s="7" t="s">
        <v>977</v>
      </c>
      <c r="P23" s="7" t="s">
        <v>976</v>
      </c>
      <c r="R23" s="7" t="s">
        <v>978</v>
      </c>
      <c r="T23" s="7" t="s">
        <v>1005</v>
      </c>
      <c r="V23" s="7" t="s">
        <v>1005</v>
      </c>
      <c r="X23" s="7" t="s">
        <v>3508</v>
      </c>
      <c r="Z23" s="7" t="s">
        <v>976</v>
      </c>
      <c r="AE23" s="7" t="s">
        <v>1025</v>
      </c>
      <c r="AF23" s="7" t="s">
        <v>976</v>
      </c>
      <c r="AI23" s="7" t="s">
        <v>976</v>
      </c>
      <c r="AO23" s="7">
        <v>0</v>
      </c>
      <c r="AP23" s="7" t="s">
        <v>982</v>
      </c>
      <c r="AV23" s="7" t="s">
        <v>993</v>
      </c>
      <c r="AW23" s="7" t="s">
        <v>993</v>
      </c>
      <c r="AY23" s="7" t="s">
        <v>993</v>
      </c>
      <c r="BD23" s="7" t="s">
        <v>984</v>
      </c>
      <c r="BF23" s="7" t="s">
        <v>976</v>
      </c>
      <c r="BH23" s="7" t="s">
        <v>985</v>
      </c>
      <c r="BJ23" s="7" t="s">
        <v>972</v>
      </c>
      <c r="BL23" s="7" t="s">
        <v>1101</v>
      </c>
      <c r="BM23" s="7" t="s">
        <v>972</v>
      </c>
      <c r="BN23" s="8">
        <v>100</v>
      </c>
      <c r="BO23" s="7" t="s">
        <v>976</v>
      </c>
      <c r="BR23" s="7" t="s">
        <v>972</v>
      </c>
      <c r="BT23" s="7" t="s">
        <v>976</v>
      </c>
      <c r="BW23" s="7" t="s">
        <v>1102</v>
      </c>
      <c r="BX23" s="7" t="s">
        <v>1022</v>
      </c>
      <c r="BZ23" s="7" t="s">
        <v>976</v>
      </c>
      <c r="CJ23" s="7" t="s">
        <v>976</v>
      </c>
    </row>
    <row r="24" spans="1:88" ht="63.75" x14ac:dyDescent="0.2">
      <c r="A24" s="6" t="s">
        <v>937</v>
      </c>
      <c r="B24" s="7" t="s">
        <v>972</v>
      </c>
      <c r="C24" s="7" t="s">
        <v>1003</v>
      </c>
      <c r="E24" s="7" t="s">
        <v>974</v>
      </c>
      <c r="G24" s="7" t="s">
        <v>975</v>
      </c>
      <c r="H24" s="7" t="s">
        <v>972</v>
      </c>
      <c r="J24" s="7" t="s">
        <v>976</v>
      </c>
      <c r="N24" s="7" t="s">
        <v>977</v>
      </c>
      <c r="P24" s="7" t="s">
        <v>972</v>
      </c>
      <c r="Q24" s="7">
        <v>0</v>
      </c>
      <c r="R24" s="7" t="s">
        <v>978</v>
      </c>
      <c r="T24" s="7" t="s">
        <v>1010</v>
      </c>
      <c r="V24" s="7" t="s">
        <v>1010</v>
      </c>
      <c r="X24" s="7" t="s">
        <v>3520</v>
      </c>
      <c r="Z24" s="7" t="s">
        <v>976</v>
      </c>
      <c r="AC24" s="7" t="s">
        <v>1078</v>
      </c>
      <c r="AD24" s="7" t="s">
        <v>1079</v>
      </c>
      <c r="AF24" s="7" t="s">
        <v>976</v>
      </c>
      <c r="AI24" s="7" t="s">
        <v>972</v>
      </c>
      <c r="AJ24" s="7" t="s">
        <v>1080</v>
      </c>
      <c r="AK24" s="7" t="s">
        <v>1014</v>
      </c>
      <c r="AL24" s="7" t="s">
        <v>971</v>
      </c>
      <c r="AM24" s="7" t="s">
        <v>971</v>
      </c>
      <c r="AN24" s="7">
        <v>0</v>
      </c>
      <c r="AO24" s="7">
        <v>0</v>
      </c>
      <c r="AP24" s="7" t="s">
        <v>982</v>
      </c>
      <c r="AV24" s="7" t="s">
        <v>982</v>
      </c>
      <c r="AW24" s="7" t="s">
        <v>982</v>
      </c>
      <c r="AY24" s="7" t="s">
        <v>982</v>
      </c>
      <c r="BD24" s="7" t="s">
        <v>984</v>
      </c>
      <c r="BF24" s="7" t="s">
        <v>976</v>
      </c>
      <c r="BH24" s="7" t="s">
        <v>985</v>
      </c>
      <c r="BJ24" s="7" t="s">
        <v>972</v>
      </c>
      <c r="BL24" s="7" t="s">
        <v>1081</v>
      </c>
      <c r="BM24" s="7" t="s">
        <v>972</v>
      </c>
      <c r="BN24" s="8">
        <v>50</v>
      </c>
      <c r="BO24" s="7" t="s">
        <v>972</v>
      </c>
      <c r="BP24" s="7">
        <v>100</v>
      </c>
      <c r="BQ24" s="7">
        <v>100</v>
      </c>
      <c r="BR24" s="7" t="s">
        <v>972</v>
      </c>
      <c r="BS24" s="8">
        <v>1500</v>
      </c>
      <c r="BT24" s="7" t="s">
        <v>972</v>
      </c>
      <c r="BU24" s="7">
        <v>100</v>
      </c>
      <c r="BV24" s="7">
        <v>100</v>
      </c>
      <c r="BW24" s="8">
        <v>1500</v>
      </c>
      <c r="BX24" s="7" t="s">
        <v>987</v>
      </c>
      <c r="BZ24" s="7" t="s">
        <v>976</v>
      </c>
      <c r="CJ24" s="7" t="s">
        <v>976</v>
      </c>
    </row>
    <row r="25" spans="1:88" ht="63.75" x14ac:dyDescent="0.2">
      <c r="A25" s="6" t="s">
        <v>949</v>
      </c>
      <c r="B25" s="7" t="s">
        <v>972</v>
      </c>
      <c r="C25" s="7" t="s">
        <v>973</v>
      </c>
      <c r="E25" s="7" t="s">
        <v>974</v>
      </c>
      <c r="G25" s="7" t="s">
        <v>975</v>
      </c>
      <c r="H25" s="7" t="s">
        <v>972</v>
      </c>
      <c r="J25" s="7" t="s">
        <v>976</v>
      </c>
      <c r="N25" s="7" t="s">
        <v>977</v>
      </c>
      <c r="P25" s="7" t="s">
        <v>972</v>
      </c>
      <c r="Q25" s="7">
        <v>1</v>
      </c>
      <c r="R25" s="7" t="s">
        <v>978</v>
      </c>
      <c r="T25" s="7" t="s">
        <v>979</v>
      </c>
      <c r="V25" s="7" t="s">
        <v>979</v>
      </c>
      <c r="X25" s="7" t="s">
        <v>1105</v>
      </c>
      <c r="Z25" s="7" t="s">
        <v>972</v>
      </c>
      <c r="AA25" s="7" t="s">
        <v>1106</v>
      </c>
      <c r="AC25" s="7" t="s">
        <v>1107</v>
      </c>
      <c r="AE25" s="7" t="s">
        <v>1108</v>
      </c>
      <c r="AF25" s="7" t="s">
        <v>976</v>
      </c>
      <c r="AI25" s="7" t="s">
        <v>976</v>
      </c>
      <c r="AO25" s="7">
        <v>0</v>
      </c>
      <c r="AP25" s="7" t="s">
        <v>982</v>
      </c>
      <c r="AV25" s="7" t="s">
        <v>982</v>
      </c>
      <c r="AW25" s="7" t="s">
        <v>982</v>
      </c>
      <c r="AY25" s="7" t="s">
        <v>982</v>
      </c>
      <c r="BD25" s="7" t="s">
        <v>1007</v>
      </c>
      <c r="BF25" s="7" t="s">
        <v>976</v>
      </c>
      <c r="BH25" s="7" t="s">
        <v>985</v>
      </c>
      <c r="BJ25" s="7" t="s">
        <v>976</v>
      </c>
      <c r="BL25" s="7" t="s">
        <v>1109</v>
      </c>
      <c r="BM25" s="7" t="s">
        <v>976</v>
      </c>
      <c r="BO25" s="7" t="s">
        <v>976</v>
      </c>
      <c r="BR25" s="7" t="s">
        <v>972</v>
      </c>
      <c r="BT25" s="7" t="s">
        <v>976</v>
      </c>
      <c r="BW25" s="7">
        <v>0</v>
      </c>
      <c r="BX25" s="7" t="s">
        <v>1022</v>
      </c>
      <c r="BZ25" s="7" t="s">
        <v>976</v>
      </c>
      <c r="CJ25" s="7" t="s">
        <v>976</v>
      </c>
    </row>
    <row r="26" spans="1:88" ht="38.25" x14ac:dyDescent="0.2">
      <c r="A26" s="6" t="s">
        <v>963</v>
      </c>
      <c r="B26" s="7" t="s">
        <v>972</v>
      </c>
      <c r="C26" s="7" t="s">
        <v>1003</v>
      </c>
      <c r="E26" s="7" t="s">
        <v>974</v>
      </c>
      <c r="G26" s="7" t="s">
        <v>975</v>
      </c>
      <c r="H26" s="7" t="s">
        <v>972</v>
      </c>
      <c r="J26" s="7" t="s">
        <v>976</v>
      </c>
      <c r="N26" s="7" t="s">
        <v>977</v>
      </c>
      <c r="P26" s="7" t="s">
        <v>972</v>
      </c>
      <c r="R26" s="7" t="s">
        <v>978</v>
      </c>
      <c r="T26" s="7" t="s">
        <v>1005</v>
      </c>
      <c r="V26" s="7" t="s">
        <v>1005</v>
      </c>
      <c r="X26" s="7" t="s">
        <v>3511</v>
      </c>
      <c r="Z26" s="7" t="s">
        <v>976</v>
      </c>
      <c r="AE26" s="7" t="s">
        <v>1137</v>
      </c>
      <c r="AF26" s="7" t="s">
        <v>976</v>
      </c>
      <c r="AI26" s="7" t="s">
        <v>976</v>
      </c>
      <c r="AO26" s="7">
        <v>0</v>
      </c>
      <c r="AP26" s="7" t="s">
        <v>982</v>
      </c>
      <c r="AV26" s="7" t="s">
        <v>983</v>
      </c>
      <c r="AW26" s="7" t="s">
        <v>983</v>
      </c>
      <c r="AY26" s="7" t="s">
        <v>983</v>
      </c>
      <c r="BD26" s="7" t="s">
        <v>990</v>
      </c>
      <c r="BE26" s="7" t="s">
        <v>1138</v>
      </c>
      <c r="BF26" s="7" t="s">
        <v>976</v>
      </c>
      <c r="BH26" s="7" t="s">
        <v>985</v>
      </c>
      <c r="BJ26" s="7" t="s">
        <v>976</v>
      </c>
      <c r="BM26" s="7" t="s">
        <v>976</v>
      </c>
      <c r="BO26" s="7" t="s">
        <v>976</v>
      </c>
      <c r="BR26" s="7" t="s">
        <v>972</v>
      </c>
      <c r="BT26" s="7" t="s">
        <v>976</v>
      </c>
      <c r="BX26" s="7" t="s">
        <v>1022</v>
      </c>
      <c r="BZ26" s="7" t="s">
        <v>972</v>
      </c>
      <c r="CA26" s="7">
        <v>250</v>
      </c>
      <c r="CB26" s="7">
        <v>250</v>
      </c>
      <c r="CC26" s="7" t="s">
        <v>982</v>
      </c>
      <c r="CI26" s="7" t="s">
        <v>1139</v>
      </c>
      <c r="CJ26" s="7" t="s">
        <v>976</v>
      </c>
    </row>
    <row r="27" spans="1:88" ht="38.25" x14ac:dyDescent="0.2">
      <c r="A27" s="6" t="s">
        <v>913</v>
      </c>
      <c r="B27" s="7" t="s">
        <v>972</v>
      </c>
      <c r="N27" s="7" t="s">
        <v>977</v>
      </c>
      <c r="P27" s="7" t="s">
        <v>972</v>
      </c>
      <c r="Q27" s="7">
        <v>10</v>
      </c>
      <c r="X27" s="7" t="s">
        <v>998</v>
      </c>
      <c r="Z27" s="7" t="s">
        <v>976</v>
      </c>
      <c r="AC27" s="7" t="s">
        <v>990</v>
      </c>
      <c r="AD27" s="7" t="s">
        <v>999</v>
      </c>
      <c r="AE27" s="7" t="s">
        <v>1000</v>
      </c>
      <c r="AF27" s="7" t="s">
        <v>976</v>
      </c>
      <c r="AI27" s="7" t="s">
        <v>976</v>
      </c>
      <c r="AO27" s="7">
        <v>0</v>
      </c>
      <c r="AP27" s="7" t="s">
        <v>982</v>
      </c>
      <c r="BD27" s="7" t="s">
        <v>990</v>
      </c>
      <c r="BE27" s="7" t="s">
        <v>1001</v>
      </c>
      <c r="BF27" s="7" t="s">
        <v>976</v>
      </c>
      <c r="BH27" s="7" t="s">
        <v>990</v>
      </c>
      <c r="BI27" s="7" t="s">
        <v>1002</v>
      </c>
      <c r="BJ27" s="7" t="s">
        <v>976</v>
      </c>
      <c r="BM27" s="7" t="s">
        <v>976</v>
      </c>
      <c r="BO27" s="7" t="s">
        <v>976</v>
      </c>
      <c r="BR27" s="7" t="s">
        <v>972</v>
      </c>
      <c r="BS27" s="8">
        <v>1250</v>
      </c>
      <c r="BT27" s="7" t="s">
        <v>976</v>
      </c>
      <c r="BX27" s="7" t="s">
        <v>987</v>
      </c>
      <c r="BZ27" s="7" t="s">
        <v>976</v>
      </c>
      <c r="CJ27" s="7" t="s">
        <v>976</v>
      </c>
    </row>
    <row r="28" spans="1:88" ht="38.25" x14ac:dyDescent="0.2">
      <c r="A28" s="6" t="s">
        <v>931</v>
      </c>
      <c r="B28" s="7" t="s">
        <v>972</v>
      </c>
      <c r="C28" s="7" t="s">
        <v>1003</v>
      </c>
      <c r="E28" s="7" t="s">
        <v>974</v>
      </c>
      <c r="G28" s="7" t="s">
        <v>975</v>
      </c>
      <c r="H28" s="7" t="s">
        <v>972</v>
      </c>
      <c r="J28" s="7" t="s">
        <v>976</v>
      </c>
      <c r="N28" s="7" t="s">
        <v>977</v>
      </c>
      <c r="P28" s="7" t="s">
        <v>972</v>
      </c>
      <c r="Q28" s="7">
        <v>1</v>
      </c>
      <c r="R28" s="7" t="s">
        <v>978</v>
      </c>
      <c r="T28" s="7" t="s">
        <v>1010</v>
      </c>
      <c r="V28" s="7" t="s">
        <v>1010</v>
      </c>
      <c r="X28" s="7" t="s">
        <v>1062</v>
      </c>
      <c r="Z28" s="7" t="s">
        <v>976</v>
      </c>
      <c r="AE28" s="7" t="s">
        <v>970</v>
      </c>
      <c r="AF28" s="7" t="s">
        <v>976</v>
      </c>
      <c r="AI28" s="7" t="s">
        <v>976</v>
      </c>
      <c r="AO28" s="7">
        <v>0</v>
      </c>
      <c r="AP28" s="7" t="s">
        <v>982</v>
      </c>
      <c r="AV28" s="7" t="s">
        <v>983</v>
      </c>
      <c r="AW28" s="7" t="s">
        <v>983</v>
      </c>
      <c r="AY28" s="7" t="s">
        <v>983</v>
      </c>
      <c r="BD28" s="7" t="s">
        <v>984</v>
      </c>
      <c r="BF28" s="7" t="s">
        <v>976</v>
      </c>
      <c r="BH28" s="7" t="s">
        <v>985</v>
      </c>
      <c r="BJ28" s="7" t="s">
        <v>972</v>
      </c>
      <c r="BL28" s="9">
        <v>1</v>
      </c>
      <c r="BM28" s="7" t="s">
        <v>972</v>
      </c>
      <c r="BN28" s="8">
        <v>200</v>
      </c>
      <c r="BO28" s="7" t="s">
        <v>976</v>
      </c>
      <c r="BR28" s="7" t="s">
        <v>972</v>
      </c>
      <c r="BT28" s="7" t="s">
        <v>976</v>
      </c>
      <c r="BW28" s="9">
        <v>1</v>
      </c>
      <c r="BX28" s="7" t="s">
        <v>987</v>
      </c>
      <c r="BZ28" s="7" t="s">
        <v>976</v>
      </c>
      <c r="CJ28" s="7" t="s">
        <v>976</v>
      </c>
    </row>
    <row r="29" spans="1:88" ht="63.75" x14ac:dyDescent="0.2">
      <c r="A29" s="6" t="s">
        <v>966</v>
      </c>
      <c r="B29" s="7" t="s">
        <v>972</v>
      </c>
      <c r="C29" s="7" t="s">
        <v>973</v>
      </c>
      <c r="E29" s="7" t="s">
        <v>974</v>
      </c>
      <c r="G29" s="7" t="s">
        <v>975</v>
      </c>
      <c r="H29" s="7" t="s">
        <v>972</v>
      </c>
      <c r="J29" s="7" t="s">
        <v>976</v>
      </c>
      <c r="N29" s="7" t="s">
        <v>977</v>
      </c>
      <c r="P29" s="7" t="s">
        <v>972</v>
      </c>
      <c r="R29" s="7" t="s">
        <v>978</v>
      </c>
      <c r="T29" s="7" t="s">
        <v>979</v>
      </c>
      <c r="V29" s="7" t="s">
        <v>979</v>
      </c>
      <c r="X29" s="7" t="s">
        <v>3530</v>
      </c>
      <c r="Z29" s="7" t="s">
        <v>976</v>
      </c>
      <c r="AE29" s="7" t="s">
        <v>1053</v>
      </c>
      <c r="AF29" s="7" t="s">
        <v>976</v>
      </c>
      <c r="AI29" s="7" t="s">
        <v>976</v>
      </c>
      <c r="AP29" s="7" t="s">
        <v>983</v>
      </c>
      <c r="AV29" s="7" t="s">
        <v>983</v>
      </c>
      <c r="AW29" s="7" t="s">
        <v>983</v>
      </c>
      <c r="AY29" s="7" t="s">
        <v>983</v>
      </c>
      <c r="BD29" s="7" t="s">
        <v>984</v>
      </c>
      <c r="BF29" s="7" t="s">
        <v>976</v>
      </c>
      <c r="BH29" s="7" t="s">
        <v>985</v>
      </c>
      <c r="BJ29" s="7" t="s">
        <v>972</v>
      </c>
      <c r="BK29" s="8">
        <v>1000</v>
      </c>
      <c r="BL29" s="7" t="s">
        <v>1151</v>
      </c>
      <c r="BM29" s="7" t="s">
        <v>976</v>
      </c>
      <c r="BO29" s="7" t="s">
        <v>976</v>
      </c>
      <c r="BR29" s="7" t="s">
        <v>976</v>
      </c>
      <c r="BX29" s="7" t="s">
        <v>987</v>
      </c>
      <c r="BZ29" s="7" t="s">
        <v>976</v>
      </c>
      <c r="CJ29" s="7" t="s">
        <v>976</v>
      </c>
    </row>
    <row r="30" spans="1:88" ht="51" x14ac:dyDescent="0.2">
      <c r="A30" s="6" t="s">
        <v>917</v>
      </c>
      <c r="B30" s="7" t="s">
        <v>972</v>
      </c>
      <c r="C30" s="7" t="s">
        <v>973</v>
      </c>
      <c r="E30" s="7" t="s">
        <v>974</v>
      </c>
      <c r="G30" s="7" t="s">
        <v>975</v>
      </c>
      <c r="H30" s="7" t="s">
        <v>972</v>
      </c>
      <c r="J30" s="7" t="s">
        <v>976</v>
      </c>
      <c r="N30" s="7" t="s">
        <v>977</v>
      </c>
      <c r="P30" s="7" t="s">
        <v>972</v>
      </c>
      <c r="Q30" s="7">
        <v>0</v>
      </c>
      <c r="R30" s="7" t="s">
        <v>978</v>
      </c>
      <c r="T30" s="7" t="s">
        <v>1019</v>
      </c>
      <c r="V30" s="7" t="s">
        <v>1005</v>
      </c>
      <c r="X30" s="7" t="s">
        <v>1020</v>
      </c>
      <c r="Z30" s="7" t="s">
        <v>976</v>
      </c>
      <c r="AE30" s="7" t="s">
        <v>970</v>
      </c>
      <c r="AF30" s="7" t="s">
        <v>976</v>
      </c>
      <c r="AI30" s="7" t="s">
        <v>976</v>
      </c>
      <c r="AO30" s="7">
        <v>0</v>
      </c>
      <c r="AP30" s="7" t="s">
        <v>982</v>
      </c>
      <c r="AV30" s="7" t="s">
        <v>983</v>
      </c>
      <c r="AW30" s="7" t="s">
        <v>983</v>
      </c>
      <c r="AY30" s="7" t="s">
        <v>983</v>
      </c>
      <c r="BD30" s="7" t="s">
        <v>990</v>
      </c>
      <c r="BE30" s="7" t="s">
        <v>1021</v>
      </c>
      <c r="BF30" s="7" t="s">
        <v>972</v>
      </c>
      <c r="BG30" s="8">
        <v>50000</v>
      </c>
      <c r="BH30" s="7" t="s">
        <v>985</v>
      </c>
      <c r="BJ30" s="7" t="s">
        <v>972</v>
      </c>
      <c r="BM30" s="7" t="s">
        <v>976</v>
      </c>
      <c r="BO30" s="7" t="s">
        <v>972</v>
      </c>
      <c r="BP30" s="7">
        <v>100</v>
      </c>
      <c r="BQ30" s="7">
        <v>100</v>
      </c>
      <c r="BR30" s="7" t="s">
        <v>972</v>
      </c>
      <c r="BT30" s="7" t="s">
        <v>972</v>
      </c>
      <c r="BU30" s="7">
        <v>100</v>
      </c>
      <c r="BV30" s="7">
        <v>100</v>
      </c>
      <c r="BX30" s="7" t="s">
        <v>1022</v>
      </c>
      <c r="BZ30" s="7" t="s">
        <v>976</v>
      </c>
      <c r="CJ30" s="7" t="s">
        <v>976</v>
      </c>
    </row>
    <row r="31" spans="1:88" ht="63.75" x14ac:dyDescent="0.2">
      <c r="A31" s="6" t="s">
        <v>923</v>
      </c>
      <c r="B31" s="7" t="s">
        <v>972</v>
      </c>
      <c r="C31" s="7" t="s">
        <v>990</v>
      </c>
      <c r="D31" s="7" t="s">
        <v>1043</v>
      </c>
      <c r="E31" s="7" t="s">
        <v>974</v>
      </c>
      <c r="G31" s="7" t="s">
        <v>975</v>
      </c>
      <c r="H31" s="7" t="s">
        <v>972</v>
      </c>
      <c r="J31" s="7" t="s">
        <v>976</v>
      </c>
      <c r="N31" s="7" t="s">
        <v>977</v>
      </c>
      <c r="P31" s="7" t="s">
        <v>972</v>
      </c>
      <c r="Q31" s="7">
        <v>1</v>
      </c>
      <c r="R31" s="7" t="s">
        <v>1015</v>
      </c>
      <c r="T31" s="7" t="s">
        <v>1005</v>
      </c>
      <c r="V31" s="7" t="s">
        <v>1005</v>
      </c>
      <c r="X31" s="7" t="s">
        <v>3526</v>
      </c>
      <c r="Z31" s="7" t="s">
        <v>976</v>
      </c>
      <c r="AC31" s="7" t="s">
        <v>990</v>
      </c>
      <c r="AD31" s="7" t="s">
        <v>970</v>
      </c>
      <c r="AE31" s="7" t="s">
        <v>971</v>
      </c>
      <c r="AF31" s="7" t="s">
        <v>976</v>
      </c>
      <c r="AI31" s="7" t="s">
        <v>976</v>
      </c>
      <c r="AO31" s="7">
        <v>0</v>
      </c>
      <c r="AP31" s="7" t="s">
        <v>982</v>
      </c>
      <c r="AV31" s="7" t="s">
        <v>982</v>
      </c>
      <c r="AW31" s="7" t="s">
        <v>982</v>
      </c>
      <c r="AX31" s="7" t="s">
        <v>982</v>
      </c>
      <c r="AY31" s="7" t="s">
        <v>982</v>
      </c>
      <c r="BD31" s="7" t="s">
        <v>984</v>
      </c>
      <c r="BF31" s="7" t="s">
        <v>972</v>
      </c>
      <c r="BG31" s="8">
        <v>3500</v>
      </c>
      <c r="BH31" s="7" t="s">
        <v>985</v>
      </c>
      <c r="BJ31" s="7" t="s">
        <v>972</v>
      </c>
      <c r="BL31" s="8">
        <v>3500</v>
      </c>
      <c r="BM31" s="7" t="s">
        <v>972</v>
      </c>
      <c r="BN31" s="8">
        <v>50</v>
      </c>
      <c r="BO31" s="7" t="s">
        <v>976</v>
      </c>
      <c r="BR31" s="7" t="s">
        <v>972</v>
      </c>
      <c r="BT31" s="7" t="s">
        <v>976</v>
      </c>
      <c r="BW31" s="7" t="s">
        <v>1044</v>
      </c>
      <c r="BX31" s="7" t="s">
        <v>1045</v>
      </c>
      <c r="BZ31" s="7" t="s">
        <v>976</v>
      </c>
      <c r="CJ31" s="7" t="s">
        <v>976</v>
      </c>
    </row>
    <row r="32" spans="1:88" ht="38.25" x14ac:dyDescent="0.2">
      <c r="A32" s="6" t="s">
        <v>935</v>
      </c>
      <c r="B32" s="7" t="s">
        <v>972</v>
      </c>
      <c r="C32" s="7" t="s">
        <v>973</v>
      </c>
      <c r="E32" s="7" t="s">
        <v>974</v>
      </c>
      <c r="G32" s="7" t="s">
        <v>975</v>
      </c>
      <c r="H32" s="7" t="s">
        <v>972</v>
      </c>
      <c r="J32" s="7" t="s">
        <v>976</v>
      </c>
      <c r="N32" s="7" t="s">
        <v>977</v>
      </c>
      <c r="P32" s="7" t="s">
        <v>972</v>
      </c>
      <c r="Q32" s="7">
        <v>0</v>
      </c>
      <c r="R32" s="7" t="s">
        <v>978</v>
      </c>
      <c r="T32" s="7" t="s">
        <v>1005</v>
      </c>
      <c r="V32" s="7" t="s">
        <v>1005</v>
      </c>
      <c r="X32" s="7" t="s">
        <v>3534</v>
      </c>
      <c r="Z32" s="7" t="s">
        <v>976</v>
      </c>
      <c r="AF32" s="7" t="s">
        <v>976</v>
      </c>
      <c r="AI32" s="7" t="s">
        <v>976</v>
      </c>
      <c r="AO32" s="7">
        <v>0</v>
      </c>
      <c r="AP32" s="7" t="s">
        <v>982</v>
      </c>
      <c r="AV32" s="7" t="s">
        <v>982</v>
      </c>
      <c r="AW32" s="7" t="s">
        <v>982</v>
      </c>
      <c r="AY32" s="7" t="s">
        <v>982</v>
      </c>
      <c r="BD32" s="7" t="s">
        <v>984</v>
      </c>
      <c r="BF32" s="7" t="s">
        <v>976</v>
      </c>
      <c r="BH32" s="7" t="s">
        <v>985</v>
      </c>
      <c r="BJ32" s="7" t="s">
        <v>976</v>
      </c>
      <c r="BM32" s="7" t="s">
        <v>976</v>
      </c>
      <c r="BO32" s="7" t="s">
        <v>976</v>
      </c>
      <c r="BR32" s="7" t="s">
        <v>972</v>
      </c>
      <c r="BS32" s="8">
        <v>1500</v>
      </c>
      <c r="BT32" s="7" t="s">
        <v>976</v>
      </c>
      <c r="BX32" s="7" t="s">
        <v>1022</v>
      </c>
      <c r="BZ32" s="7" t="s">
        <v>972</v>
      </c>
      <c r="CA32" s="7">
        <v>100</v>
      </c>
      <c r="CC32" s="7" t="s">
        <v>983</v>
      </c>
      <c r="CI32" s="7" t="s">
        <v>970</v>
      </c>
      <c r="CJ32" s="7" t="s">
        <v>976</v>
      </c>
    </row>
    <row r="33" spans="1:89" ht="51" x14ac:dyDescent="0.2">
      <c r="A33" s="6" t="s">
        <v>915</v>
      </c>
      <c r="B33" s="7" t="s">
        <v>972</v>
      </c>
      <c r="C33" s="7" t="s">
        <v>1003</v>
      </c>
      <c r="E33" s="7" t="s">
        <v>974</v>
      </c>
      <c r="G33" s="7" t="s">
        <v>975</v>
      </c>
      <c r="H33" s="7" t="s">
        <v>976</v>
      </c>
      <c r="I33" s="7" t="s">
        <v>1009</v>
      </c>
      <c r="J33" s="7" t="s">
        <v>976</v>
      </c>
      <c r="N33" s="7" t="s">
        <v>977</v>
      </c>
      <c r="P33" s="7" t="s">
        <v>972</v>
      </c>
      <c r="Q33" s="7">
        <v>1</v>
      </c>
      <c r="R33" s="7" t="s">
        <v>978</v>
      </c>
      <c r="T33" s="7" t="s">
        <v>1010</v>
      </c>
      <c r="V33" s="7" t="s">
        <v>1010</v>
      </c>
      <c r="X33" s="7" t="s">
        <v>1011</v>
      </c>
      <c r="Z33" s="7" t="s">
        <v>976</v>
      </c>
      <c r="AC33" s="7" t="s">
        <v>990</v>
      </c>
      <c r="AD33" s="7" t="s">
        <v>971</v>
      </c>
      <c r="AE33" s="7" t="s">
        <v>1012</v>
      </c>
      <c r="AF33" s="7" t="s">
        <v>976</v>
      </c>
      <c r="AI33" s="7" t="s">
        <v>972</v>
      </c>
      <c r="AJ33" s="7" t="s">
        <v>1013</v>
      </c>
      <c r="AK33" s="7" t="s">
        <v>1014</v>
      </c>
      <c r="AN33" s="7">
        <v>300</v>
      </c>
      <c r="AO33" s="7">
        <v>0</v>
      </c>
      <c r="AP33" s="7" t="s">
        <v>982</v>
      </c>
      <c r="AV33" s="7" t="s">
        <v>993</v>
      </c>
      <c r="AW33" s="7" t="s">
        <v>993</v>
      </c>
      <c r="AY33" s="7" t="s">
        <v>993</v>
      </c>
      <c r="BD33" s="7" t="s">
        <v>1007</v>
      </c>
      <c r="BF33" s="7" t="s">
        <v>976</v>
      </c>
      <c r="BH33" s="7" t="s">
        <v>985</v>
      </c>
      <c r="BJ33" s="7" t="s">
        <v>972</v>
      </c>
      <c r="BM33" s="7" t="s">
        <v>972</v>
      </c>
      <c r="BN33" s="8">
        <v>100</v>
      </c>
      <c r="BO33" s="7" t="s">
        <v>976</v>
      </c>
      <c r="BR33" s="7" t="s">
        <v>972</v>
      </c>
      <c r="BT33" s="7" t="s">
        <v>976</v>
      </c>
      <c r="BX33" s="7" t="s">
        <v>1008</v>
      </c>
      <c r="BZ33" s="7" t="s">
        <v>976</v>
      </c>
      <c r="CJ33" s="7" t="s">
        <v>976</v>
      </c>
    </row>
    <row r="34" spans="1:89" ht="76.5" x14ac:dyDescent="0.2">
      <c r="A34" s="6" t="s">
        <v>945</v>
      </c>
      <c r="B34" s="7" t="s">
        <v>972</v>
      </c>
      <c r="C34" s="7" t="s">
        <v>1003</v>
      </c>
      <c r="E34" s="7" t="s">
        <v>974</v>
      </c>
      <c r="G34" s="7" t="s">
        <v>975</v>
      </c>
      <c r="H34" s="7" t="s">
        <v>972</v>
      </c>
      <c r="J34" s="7" t="s">
        <v>976</v>
      </c>
      <c r="N34" s="7" t="s">
        <v>977</v>
      </c>
      <c r="P34" s="7" t="s">
        <v>972</v>
      </c>
      <c r="R34" s="7" t="s">
        <v>978</v>
      </c>
      <c r="T34" s="7" t="s">
        <v>1019</v>
      </c>
      <c r="V34" s="7" t="s">
        <v>1005</v>
      </c>
      <c r="X34" s="7" t="s">
        <v>3533</v>
      </c>
      <c r="Y34" s="7" t="s">
        <v>1098</v>
      </c>
      <c r="Z34" s="7" t="s">
        <v>976</v>
      </c>
      <c r="AE34" s="7" t="s">
        <v>1099</v>
      </c>
      <c r="AF34" s="7" t="s">
        <v>976</v>
      </c>
      <c r="AI34" s="7" t="s">
        <v>976</v>
      </c>
      <c r="AO34" s="7">
        <v>0</v>
      </c>
      <c r="AP34" s="7" t="s">
        <v>982</v>
      </c>
      <c r="AV34" s="7" t="s">
        <v>982</v>
      </c>
      <c r="AW34" s="7" t="s">
        <v>982</v>
      </c>
      <c r="AY34" s="7" t="s">
        <v>982</v>
      </c>
      <c r="BD34" s="7" t="s">
        <v>984</v>
      </c>
      <c r="BF34" s="7" t="s">
        <v>976</v>
      </c>
      <c r="BH34" s="7" t="s">
        <v>985</v>
      </c>
      <c r="BJ34" s="7" t="s">
        <v>972</v>
      </c>
      <c r="BL34" s="7" t="s">
        <v>1100</v>
      </c>
      <c r="BM34" s="7" t="s">
        <v>976</v>
      </c>
      <c r="BO34" s="7" t="s">
        <v>976</v>
      </c>
      <c r="BR34" s="7" t="s">
        <v>972</v>
      </c>
      <c r="BT34" s="7" t="s">
        <v>976</v>
      </c>
      <c r="BX34" s="7" t="s">
        <v>1008</v>
      </c>
      <c r="BZ34" s="7" t="s">
        <v>976</v>
      </c>
      <c r="CJ34" s="7" t="s">
        <v>976</v>
      </c>
    </row>
    <row r="35" spans="1:89" ht="63.75" x14ac:dyDescent="0.2">
      <c r="A35" s="6" t="s">
        <v>924</v>
      </c>
      <c r="B35" s="7" t="s">
        <v>972</v>
      </c>
      <c r="C35" s="7" t="s">
        <v>1003</v>
      </c>
      <c r="E35" s="7" t="s">
        <v>974</v>
      </c>
      <c r="G35" s="7" t="s">
        <v>975</v>
      </c>
      <c r="H35" s="7" t="s">
        <v>972</v>
      </c>
      <c r="J35" s="7" t="s">
        <v>976</v>
      </c>
      <c r="N35" s="7" t="s">
        <v>977</v>
      </c>
      <c r="P35" s="7" t="s">
        <v>976</v>
      </c>
      <c r="R35" s="7" t="s">
        <v>978</v>
      </c>
      <c r="T35" s="7" t="s">
        <v>1010</v>
      </c>
      <c r="V35" s="7" t="s">
        <v>1010</v>
      </c>
      <c r="X35" s="7" t="s">
        <v>3536</v>
      </c>
      <c r="Z35" s="7" t="s">
        <v>976</v>
      </c>
      <c r="AE35" s="7" t="s">
        <v>1046</v>
      </c>
      <c r="AF35" s="7" t="s">
        <v>976</v>
      </c>
      <c r="AI35" s="7" t="s">
        <v>976</v>
      </c>
      <c r="AO35" s="7">
        <v>0</v>
      </c>
      <c r="AP35" s="7" t="s">
        <v>982</v>
      </c>
      <c r="AV35" s="7" t="s">
        <v>982</v>
      </c>
      <c r="AW35" s="7" t="s">
        <v>982</v>
      </c>
      <c r="AY35" s="7" t="s">
        <v>982</v>
      </c>
      <c r="BD35" s="7" t="s">
        <v>990</v>
      </c>
      <c r="BE35" s="7" t="s">
        <v>1047</v>
      </c>
      <c r="BF35" s="7" t="s">
        <v>976</v>
      </c>
      <c r="BH35" s="7" t="s">
        <v>1034</v>
      </c>
      <c r="BJ35" s="7" t="s">
        <v>972</v>
      </c>
      <c r="BK35" s="8">
        <v>100</v>
      </c>
      <c r="BL35" s="7">
        <v>100</v>
      </c>
      <c r="BM35" s="7" t="s">
        <v>976</v>
      </c>
      <c r="BO35" s="7" t="s">
        <v>976</v>
      </c>
      <c r="BR35" s="7" t="s">
        <v>972</v>
      </c>
      <c r="BS35" s="8">
        <v>1000</v>
      </c>
      <c r="BT35" s="7" t="s">
        <v>976</v>
      </c>
      <c r="BX35" s="7" t="s">
        <v>987</v>
      </c>
      <c r="BZ35" s="7" t="s">
        <v>972</v>
      </c>
      <c r="CA35" s="7">
        <v>100</v>
      </c>
      <c r="CC35" s="7" t="s">
        <v>982</v>
      </c>
      <c r="CI35" s="7" t="s">
        <v>987</v>
      </c>
      <c r="CJ35" s="7" t="s">
        <v>976</v>
      </c>
    </row>
    <row r="36" spans="1:89" ht="38.25" x14ac:dyDescent="0.2">
      <c r="A36" s="6" t="s">
        <v>925</v>
      </c>
      <c r="B36" s="7" t="s">
        <v>972</v>
      </c>
      <c r="C36" s="7" t="s">
        <v>990</v>
      </c>
      <c r="D36" s="7" t="s">
        <v>1048</v>
      </c>
      <c r="E36" s="7" t="s">
        <v>974</v>
      </c>
      <c r="G36" s="7" t="s">
        <v>975</v>
      </c>
      <c r="H36" s="7" t="s">
        <v>972</v>
      </c>
      <c r="J36" s="7" t="s">
        <v>972</v>
      </c>
      <c r="K36" s="7">
        <v>4</v>
      </c>
      <c r="L36" s="7" t="s">
        <v>976</v>
      </c>
      <c r="N36" s="7" t="s">
        <v>977</v>
      </c>
      <c r="P36" s="7" t="s">
        <v>972</v>
      </c>
      <c r="R36" s="7" t="s">
        <v>978</v>
      </c>
      <c r="T36" s="7" t="s">
        <v>1005</v>
      </c>
      <c r="V36" s="7" t="s">
        <v>1005</v>
      </c>
      <c r="X36" s="7" t="s">
        <v>1049</v>
      </c>
      <c r="Y36" s="7" t="s">
        <v>1050</v>
      </c>
      <c r="Z36" s="7" t="s">
        <v>972</v>
      </c>
      <c r="AA36" s="7" t="s">
        <v>990</v>
      </c>
      <c r="AB36" s="7" t="s">
        <v>1051</v>
      </c>
      <c r="AF36" s="7" t="s">
        <v>976</v>
      </c>
      <c r="AI36" s="7" t="s">
        <v>976</v>
      </c>
      <c r="AO36" s="7">
        <v>90</v>
      </c>
      <c r="AP36" s="7" t="s">
        <v>982</v>
      </c>
      <c r="AV36" s="7" t="s">
        <v>983</v>
      </c>
      <c r="AW36" s="7" t="s">
        <v>983</v>
      </c>
      <c r="AY36" s="7" t="s">
        <v>983</v>
      </c>
      <c r="BD36" s="7" t="s">
        <v>1007</v>
      </c>
      <c r="BF36" s="7" t="s">
        <v>976</v>
      </c>
      <c r="BH36" s="7" t="s">
        <v>985</v>
      </c>
      <c r="BJ36" s="7" t="s">
        <v>972</v>
      </c>
      <c r="BM36" s="7" t="s">
        <v>972</v>
      </c>
      <c r="BN36" s="8">
        <v>50</v>
      </c>
      <c r="BR36" s="7" t="s">
        <v>972</v>
      </c>
      <c r="BW36" s="7" t="s">
        <v>1052</v>
      </c>
      <c r="BX36" s="7" t="s">
        <v>1022</v>
      </c>
      <c r="BZ36" s="7" t="s">
        <v>972</v>
      </c>
      <c r="CA36" s="7">
        <v>100</v>
      </c>
      <c r="CC36" s="7" t="s">
        <v>983</v>
      </c>
      <c r="CJ36" s="7" t="s">
        <v>976</v>
      </c>
    </row>
    <row r="37" spans="1:89" ht="51" x14ac:dyDescent="0.2">
      <c r="A37" s="6" t="s">
        <v>3376</v>
      </c>
      <c r="B37" s="10" t="s">
        <v>972</v>
      </c>
      <c r="C37" s="10" t="s">
        <v>1003</v>
      </c>
      <c r="D37" s="10"/>
      <c r="E37" s="10" t="s">
        <v>974</v>
      </c>
      <c r="F37" s="10"/>
      <c r="G37" s="10" t="s">
        <v>975</v>
      </c>
      <c r="H37" s="10" t="s">
        <v>972</v>
      </c>
      <c r="I37" s="10"/>
      <c r="J37" s="10" t="s">
        <v>976</v>
      </c>
      <c r="K37" s="10"/>
      <c r="L37" s="10"/>
      <c r="M37" s="10"/>
      <c r="N37" s="10" t="s">
        <v>977</v>
      </c>
      <c r="O37" s="10"/>
      <c r="P37" s="10" t="s">
        <v>972</v>
      </c>
      <c r="Q37" s="10">
        <v>20</v>
      </c>
      <c r="R37" s="10" t="s">
        <v>3377</v>
      </c>
      <c r="S37" s="10"/>
      <c r="T37" s="10" t="s">
        <v>1019</v>
      </c>
      <c r="U37" s="10"/>
      <c r="V37" s="10" t="s">
        <v>1005</v>
      </c>
      <c r="W37" s="10"/>
      <c r="X37" s="10" t="s">
        <v>3378</v>
      </c>
      <c r="Y37" s="10"/>
      <c r="Z37" s="10" t="s">
        <v>972</v>
      </c>
      <c r="AA37" s="10" t="s">
        <v>3538</v>
      </c>
      <c r="AB37" s="10"/>
      <c r="AC37" s="10"/>
      <c r="AD37" s="10"/>
      <c r="AE37" s="10" t="s">
        <v>3379</v>
      </c>
      <c r="AF37" s="10" t="s">
        <v>976</v>
      </c>
      <c r="AG37" s="10"/>
      <c r="AH37" s="10"/>
      <c r="AI37" s="10" t="s">
        <v>976</v>
      </c>
      <c r="AJ37" s="10"/>
      <c r="AK37" s="10"/>
      <c r="AL37" s="10"/>
      <c r="AM37" s="10"/>
      <c r="AN37" s="10"/>
      <c r="AO37" s="10">
        <v>0</v>
      </c>
      <c r="AP37" s="10" t="s">
        <v>982</v>
      </c>
      <c r="AQ37" s="10"/>
      <c r="AR37" s="10"/>
      <c r="AS37" s="10"/>
      <c r="AT37" s="10"/>
      <c r="AU37" s="10"/>
      <c r="AV37" s="10" t="s">
        <v>982</v>
      </c>
      <c r="AW37" s="10" t="s">
        <v>982</v>
      </c>
      <c r="AX37" s="10" t="s">
        <v>982</v>
      </c>
      <c r="AY37" s="10"/>
      <c r="AZ37" s="10"/>
      <c r="BA37" s="10"/>
      <c r="BB37" s="10"/>
      <c r="BC37" s="10"/>
      <c r="BD37" s="10" t="s">
        <v>1007</v>
      </c>
      <c r="BE37" s="10"/>
      <c r="BF37" s="10" t="s">
        <v>976</v>
      </c>
      <c r="BG37" s="11"/>
      <c r="BH37" s="10" t="s">
        <v>985</v>
      </c>
      <c r="BI37" s="10"/>
      <c r="BJ37" s="10" t="s">
        <v>972</v>
      </c>
      <c r="BK37" s="11">
        <v>400</v>
      </c>
      <c r="BL37" s="10" t="s">
        <v>3380</v>
      </c>
      <c r="BM37" s="10" t="s">
        <v>976</v>
      </c>
      <c r="BN37" s="11"/>
      <c r="BO37" s="10" t="s">
        <v>976</v>
      </c>
      <c r="BP37" s="10"/>
      <c r="BQ37" s="10"/>
      <c r="BR37" s="10" t="s">
        <v>972</v>
      </c>
      <c r="BS37" s="11"/>
      <c r="BT37" s="10" t="s">
        <v>976</v>
      </c>
      <c r="BU37" s="10"/>
      <c r="BV37" s="10"/>
      <c r="BW37" s="10"/>
      <c r="BX37" s="10" t="s">
        <v>1008</v>
      </c>
      <c r="BY37" s="10"/>
      <c r="BZ37" s="10" t="s">
        <v>972</v>
      </c>
      <c r="CA37" s="10">
        <v>100</v>
      </c>
      <c r="CB37" s="10"/>
      <c r="CC37" s="10" t="s">
        <v>983</v>
      </c>
      <c r="CD37" s="10"/>
      <c r="CE37" s="10"/>
      <c r="CF37" s="10"/>
      <c r="CG37" s="10"/>
      <c r="CH37" s="10"/>
      <c r="CI37" s="10"/>
      <c r="CJ37" s="10" t="s">
        <v>972</v>
      </c>
      <c r="CK37" s="10" t="s">
        <v>3542</v>
      </c>
    </row>
    <row r="38" spans="1:89" ht="51" x14ac:dyDescent="0.2">
      <c r="A38" s="6" t="s">
        <v>952</v>
      </c>
      <c r="B38" s="7" t="s">
        <v>972</v>
      </c>
      <c r="C38" s="7" t="s">
        <v>1003</v>
      </c>
      <c r="E38" s="7" t="s">
        <v>974</v>
      </c>
      <c r="G38" s="7" t="s">
        <v>975</v>
      </c>
      <c r="H38" s="7" t="s">
        <v>972</v>
      </c>
      <c r="J38" s="7" t="s">
        <v>976</v>
      </c>
      <c r="N38" s="7" t="s">
        <v>977</v>
      </c>
      <c r="P38" s="7" t="s">
        <v>972</v>
      </c>
      <c r="Q38" s="7">
        <v>0</v>
      </c>
      <c r="R38" s="7" t="s">
        <v>978</v>
      </c>
      <c r="T38" s="7" t="s">
        <v>1010</v>
      </c>
      <c r="V38" s="7" t="s">
        <v>1010</v>
      </c>
      <c r="X38" s="7" t="s">
        <v>3525</v>
      </c>
      <c r="Z38" s="7" t="s">
        <v>976</v>
      </c>
      <c r="AC38" s="7" t="s">
        <v>990</v>
      </c>
      <c r="AD38" s="7" t="s">
        <v>1115</v>
      </c>
      <c r="AE38" s="7" t="s">
        <v>1053</v>
      </c>
      <c r="AF38" s="7" t="s">
        <v>976</v>
      </c>
      <c r="AI38" s="7" t="s">
        <v>976</v>
      </c>
      <c r="AO38" s="7">
        <v>0</v>
      </c>
      <c r="AP38" s="7" t="s">
        <v>982</v>
      </c>
      <c r="AV38" s="7" t="s">
        <v>982</v>
      </c>
      <c r="AW38" s="7" t="s">
        <v>982</v>
      </c>
      <c r="AY38" s="7" t="s">
        <v>982</v>
      </c>
      <c r="BD38" s="7" t="s">
        <v>984</v>
      </c>
      <c r="BF38" s="7" t="s">
        <v>976</v>
      </c>
      <c r="BH38" s="7" t="s">
        <v>985</v>
      </c>
      <c r="BJ38" s="7" t="s">
        <v>972</v>
      </c>
      <c r="BL38" s="7" t="s">
        <v>1116</v>
      </c>
      <c r="BM38" s="7" t="s">
        <v>972</v>
      </c>
      <c r="BN38" s="8">
        <v>50</v>
      </c>
      <c r="BO38" s="7" t="s">
        <v>976</v>
      </c>
      <c r="BR38" s="7" t="s">
        <v>972</v>
      </c>
      <c r="BT38" s="7" t="s">
        <v>976</v>
      </c>
      <c r="BX38" s="7" t="s">
        <v>987</v>
      </c>
      <c r="BZ38" s="7" t="s">
        <v>976</v>
      </c>
      <c r="CJ38" s="7" t="s">
        <v>976</v>
      </c>
    </row>
    <row r="39" spans="1:89" ht="25.5" x14ac:dyDescent="0.2">
      <c r="A39" s="6" t="s">
        <v>921</v>
      </c>
      <c r="B39" s="7" t="s">
        <v>972</v>
      </c>
      <c r="E39" s="7" t="s">
        <v>974</v>
      </c>
      <c r="G39" s="7" t="s">
        <v>975</v>
      </c>
      <c r="H39" s="7" t="s">
        <v>972</v>
      </c>
      <c r="J39" s="7" t="s">
        <v>976</v>
      </c>
      <c r="N39" s="7" t="s">
        <v>977</v>
      </c>
      <c r="P39" s="7" t="s">
        <v>976</v>
      </c>
      <c r="R39" s="7" t="s">
        <v>978</v>
      </c>
      <c r="T39" s="7" t="s">
        <v>1010</v>
      </c>
      <c r="V39" s="7" t="s">
        <v>1010</v>
      </c>
      <c r="Z39" s="7" t="s">
        <v>976</v>
      </c>
      <c r="AE39" s="7" t="s">
        <v>1025</v>
      </c>
      <c r="AF39" s="7" t="s">
        <v>976</v>
      </c>
      <c r="AI39" s="7" t="s">
        <v>976</v>
      </c>
      <c r="AO39" s="7">
        <v>0</v>
      </c>
      <c r="BD39" s="7" t="s">
        <v>984</v>
      </c>
      <c r="BH39" s="7" t="s">
        <v>985</v>
      </c>
      <c r="BJ39" s="7" t="s">
        <v>972</v>
      </c>
      <c r="BX39" s="7" t="s">
        <v>987</v>
      </c>
      <c r="BZ39" s="7" t="s">
        <v>972</v>
      </c>
      <c r="CA39" s="7">
        <v>100</v>
      </c>
      <c r="CC39" s="7" t="s">
        <v>982</v>
      </c>
      <c r="CI39" s="7" t="s">
        <v>1035</v>
      </c>
      <c r="CJ39" s="7" t="s">
        <v>976</v>
      </c>
    </row>
    <row r="40" spans="1:89" ht="63.75" x14ac:dyDescent="0.2">
      <c r="A40" s="14" t="s">
        <v>958</v>
      </c>
      <c r="B40" s="15" t="s">
        <v>972</v>
      </c>
      <c r="C40" s="15" t="s">
        <v>1003</v>
      </c>
      <c r="D40" s="15"/>
      <c r="E40" s="15" t="s">
        <v>974</v>
      </c>
      <c r="F40" s="15"/>
      <c r="G40" s="15" t="s">
        <v>975</v>
      </c>
      <c r="H40" s="15" t="s">
        <v>972</v>
      </c>
      <c r="I40" s="15"/>
      <c r="J40" s="15" t="s">
        <v>976</v>
      </c>
      <c r="K40" s="15"/>
      <c r="L40" s="15"/>
      <c r="M40" s="15"/>
      <c r="N40" s="15" t="s">
        <v>977</v>
      </c>
      <c r="O40" s="15"/>
      <c r="P40" s="15" t="s">
        <v>972</v>
      </c>
      <c r="Q40" s="15">
        <v>20</v>
      </c>
      <c r="R40" s="15" t="s">
        <v>1015</v>
      </c>
      <c r="S40" s="15"/>
      <c r="T40" s="15" t="s">
        <v>979</v>
      </c>
      <c r="U40" s="15"/>
      <c r="V40" s="15" t="s">
        <v>1005</v>
      </c>
      <c r="W40" s="15"/>
      <c r="X40" s="15" t="s">
        <v>3517</v>
      </c>
      <c r="Y40" s="15"/>
      <c r="Z40" s="15" t="s">
        <v>976</v>
      </c>
      <c r="AA40" s="15"/>
      <c r="AB40" s="15"/>
      <c r="AC40" s="15"/>
      <c r="AD40" s="15"/>
      <c r="AE40" s="15"/>
      <c r="AF40" s="15" t="s">
        <v>976</v>
      </c>
      <c r="AG40" s="15"/>
      <c r="AH40" s="15"/>
      <c r="AI40" s="15" t="s">
        <v>972</v>
      </c>
      <c r="AJ40" s="15"/>
      <c r="AK40" s="15"/>
      <c r="AL40" s="15"/>
      <c r="AM40" s="15"/>
      <c r="AN40" s="15">
        <v>0</v>
      </c>
      <c r="AO40" s="15">
        <v>0</v>
      </c>
      <c r="AP40" s="15" t="s">
        <v>982</v>
      </c>
      <c r="AQ40" s="15"/>
      <c r="AR40" s="15"/>
      <c r="AS40" s="15"/>
      <c r="AT40" s="15"/>
      <c r="AU40" s="15"/>
      <c r="AV40" s="15" t="s">
        <v>982</v>
      </c>
      <c r="AW40" s="15" t="s">
        <v>982</v>
      </c>
      <c r="AX40" s="15" t="s">
        <v>982</v>
      </c>
      <c r="AY40" s="15" t="s">
        <v>982</v>
      </c>
      <c r="AZ40" s="15"/>
      <c r="BA40" s="15"/>
      <c r="BB40" s="15"/>
      <c r="BC40" s="15"/>
      <c r="BD40" s="15" t="s">
        <v>990</v>
      </c>
      <c r="BE40" s="15" t="s">
        <v>1131</v>
      </c>
      <c r="BF40" s="15" t="s">
        <v>976</v>
      </c>
      <c r="BG40" s="16"/>
      <c r="BH40" s="15" t="s">
        <v>990</v>
      </c>
      <c r="BI40" s="15"/>
      <c r="BJ40" s="15" t="s">
        <v>976</v>
      </c>
      <c r="BK40" s="16"/>
      <c r="BL40" s="15" t="s">
        <v>1057</v>
      </c>
      <c r="BM40" s="15" t="s">
        <v>976</v>
      </c>
      <c r="BN40" s="16"/>
      <c r="BO40" s="15" t="s">
        <v>972</v>
      </c>
      <c r="BP40" s="15"/>
      <c r="BQ40" s="15"/>
      <c r="BR40" s="15" t="s">
        <v>972</v>
      </c>
      <c r="BS40" s="16"/>
      <c r="BT40" s="15" t="s">
        <v>976</v>
      </c>
      <c r="BU40" s="15"/>
      <c r="BV40" s="15"/>
      <c r="BW40" s="15" t="s">
        <v>1057</v>
      </c>
      <c r="BX40" s="15" t="s">
        <v>1008</v>
      </c>
      <c r="BY40" s="15"/>
      <c r="BZ40" s="15" t="s">
        <v>976</v>
      </c>
      <c r="CA40" s="15"/>
      <c r="CB40" s="15"/>
      <c r="CC40" s="15"/>
      <c r="CD40" s="15"/>
      <c r="CE40" s="15"/>
      <c r="CF40" s="15"/>
      <c r="CG40" s="15"/>
      <c r="CH40" s="15"/>
      <c r="CI40" s="15"/>
      <c r="CJ40" s="15" t="s">
        <v>976</v>
      </c>
      <c r="CK40" s="15"/>
    </row>
    <row r="41" spans="1:89" ht="89.25" x14ac:dyDescent="0.2">
      <c r="A41" s="6" t="s">
        <v>962</v>
      </c>
      <c r="B41" s="7" t="s">
        <v>972</v>
      </c>
      <c r="C41" s="7" t="s">
        <v>990</v>
      </c>
      <c r="D41" s="7" t="s">
        <v>1135</v>
      </c>
      <c r="E41" s="7" t="s">
        <v>974</v>
      </c>
      <c r="G41" s="7" t="s">
        <v>975</v>
      </c>
      <c r="H41" s="7" t="s">
        <v>972</v>
      </c>
      <c r="J41" s="7" t="s">
        <v>976</v>
      </c>
      <c r="N41" s="7" t="s">
        <v>1136</v>
      </c>
      <c r="P41" s="7" t="s">
        <v>976</v>
      </c>
      <c r="X41" s="7" t="s">
        <v>3518</v>
      </c>
      <c r="Z41" s="7" t="s">
        <v>976</v>
      </c>
      <c r="AE41" s="7" t="s">
        <v>971</v>
      </c>
      <c r="AF41" s="7" t="s">
        <v>976</v>
      </c>
      <c r="AI41" s="7" t="s">
        <v>976</v>
      </c>
      <c r="AO41" s="7">
        <v>0</v>
      </c>
      <c r="AP41" s="7" t="s">
        <v>982</v>
      </c>
      <c r="BD41" s="7" t="s">
        <v>1007</v>
      </c>
      <c r="BF41" s="7" t="s">
        <v>976</v>
      </c>
      <c r="BH41" s="7" t="s">
        <v>985</v>
      </c>
      <c r="BJ41" s="7" t="s">
        <v>972</v>
      </c>
      <c r="BM41" s="7" t="s">
        <v>976</v>
      </c>
      <c r="BO41" s="7" t="s">
        <v>976</v>
      </c>
      <c r="BR41" s="7" t="s">
        <v>972</v>
      </c>
      <c r="BT41" s="7" t="s">
        <v>976</v>
      </c>
      <c r="BX41" s="7" t="s">
        <v>987</v>
      </c>
      <c r="BZ41" s="7" t="s">
        <v>972</v>
      </c>
      <c r="CA41" s="7">
        <v>200</v>
      </c>
      <c r="CC41" s="7" t="s">
        <v>982</v>
      </c>
      <c r="CJ41" s="7" t="s">
        <v>976</v>
      </c>
    </row>
    <row r="42" spans="1:89" ht="63.75" x14ac:dyDescent="0.2">
      <c r="A42" s="6" t="s">
        <v>957</v>
      </c>
      <c r="B42" s="7" t="s">
        <v>972</v>
      </c>
      <c r="C42" s="7" t="s">
        <v>973</v>
      </c>
      <c r="E42" s="7" t="s">
        <v>974</v>
      </c>
      <c r="G42" s="7" t="s">
        <v>975</v>
      </c>
      <c r="H42" s="7" t="s">
        <v>972</v>
      </c>
      <c r="J42" s="7" t="s">
        <v>972</v>
      </c>
      <c r="K42" s="7">
        <v>4</v>
      </c>
      <c r="L42" s="7" t="s">
        <v>972</v>
      </c>
      <c r="N42" s="7" t="s">
        <v>977</v>
      </c>
      <c r="P42" s="7" t="s">
        <v>972</v>
      </c>
      <c r="Q42" s="7">
        <v>1</v>
      </c>
      <c r="R42" s="7" t="s">
        <v>978</v>
      </c>
      <c r="T42" s="7" t="s">
        <v>1005</v>
      </c>
      <c r="V42" s="7" t="s">
        <v>1005</v>
      </c>
      <c r="X42" s="7" t="s">
        <v>3515</v>
      </c>
      <c r="Y42" s="7" t="s">
        <v>1127</v>
      </c>
      <c r="Z42" s="7" t="s">
        <v>976</v>
      </c>
      <c r="AE42" s="7" t="s">
        <v>1128</v>
      </c>
      <c r="AF42" s="7" t="s">
        <v>976</v>
      </c>
      <c r="AI42" s="7" t="s">
        <v>972</v>
      </c>
      <c r="AJ42" s="7" t="s">
        <v>1129</v>
      </c>
      <c r="AK42" s="7" t="s">
        <v>1014</v>
      </c>
      <c r="AL42" s="7">
        <v>15000</v>
      </c>
      <c r="AM42" s="8">
        <v>15000</v>
      </c>
      <c r="AN42" s="7">
        <v>304</v>
      </c>
      <c r="AO42" s="7">
        <v>0</v>
      </c>
      <c r="AP42" s="7" t="s">
        <v>982</v>
      </c>
      <c r="AV42" s="7" t="s">
        <v>982</v>
      </c>
      <c r="AW42" s="7" t="s">
        <v>982</v>
      </c>
      <c r="AY42" s="7" t="s">
        <v>982</v>
      </c>
      <c r="BD42" s="7" t="s">
        <v>984</v>
      </c>
      <c r="BF42" s="7" t="s">
        <v>976</v>
      </c>
      <c r="BH42" s="7" t="s">
        <v>990</v>
      </c>
      <c r="BI42" s="7" t="s">
        <v>1130</v>
      </c>
      <c r="BJ42" s="7" t="s">
        <v>972</v>
      </c>
      <c r="BM42" s="7" t="s">
        <v>972</v>
      </c>
      <c r="BN42" s="8">
        <v>200</v>
      </c>
      <c r="BO42" s="7" t="s">
        <v>976</v>
      </c>
      <c r="BR42" s="7" t="s">
        <v>972</v>
      </c>
      <c r="BT42" s="7" t="s">
        <v>976</v>
      </c>
      <c r="BX42" s="7" t="s">
        <v>1022</v>
      </c>
      <c r="BZ42" s="7" t="s">
        <v>976</v>
      </c>
      <c r="CJ42" s="7" t="s">
        <v>976</v>
      </c>
    </row>
    <row r="43" spans="1:89" ht="25.5" x14ac:dyDescent="0.2">
      <c r="A43" s="6" t="s">
        <v>918</v>
      </c>
      <c r="B43" s="7" t="s">
        <v>972</v>
      </c>
      <c r="C43" s="7" t="s">
        <v>1003</v>
      </c>
      <c r="E43" s="7" t="s">
        <v>974</v>
      </c>
      <c r="G43" s="7" t="s">
        <v>975</v>
      </c>
      <c r="H43" s="7" t="s">
        <v>972</v>
      </c>
      <c r="J43" s="7" t="s">
        <v>976</v>
      </c>
      <c r="N43" s="7" t="s">
        <v>977</v>
      </c>
      <c r="P43" s="7" t="s">
        <v>1023</v>
      </c>
      <c r="R43" s="7" t="s">
        <v>978</v>
      </c>
      <c r="T43" s="7" t="s">
        <v>990</v>
      </c>
      <c r="U43" s="7">
        <v>30</v>
      </c>
      <c r="V43" s="7" t="s">
        <v>990</v>
      </c>
      <c r="W43" s="7">
        <v>30</v>
      </c>
      <c r="X43" s="7" t="s">
        <v>1024</v>
      </c>
      <c r="Z43" s="7" t="s">
        <v>976</v>
      </c>
      <c r="AC43" s="7" t="s">
        <v>990</v>
      </c>
      <c r="AD43" s="7" t="s">
        <v>1025</v>
      </c>
      <c r="AE43" s="7" t="s">
        <v>1026</v>
      </c>
      <c r="AF43" s="7" t="s">
        <v>976</v>
      </c>
      <c r="AI43" s="7" t="s">
        <v>976</v>
      </c>
      <c r="AO43" s="7">
        <v>0</v>
      </c>
      <c r="AP43" s="7" t="s">
        <v>982</v>
      </c>
      <c r="AV43" s="7" t="s">
        <v>982</v>
      </c>
      <c r="AW43" s="7" t="s">
        <v>982</v>
      </c>
      <c r="AY43" s="7" t="s">
        <v>982</v>
      </c>
      <c r="BD43" s="7" t="s">
        <v>1007</v>
      </c>
      <c r="BF43" s="7" t="s">
        <v>976</v>
      </c>
      <c r="BH43" s="7" t="s">
        <v>985</v>
      </c>
      <c r="BJ43" s="7" t="s">
        <v>972</v>
      </c>
      <c r="BM43" s="7" t="s">
        <v>972</v>
      </c>
      <c r="BN43" s="8">
        <v>50</v>
      </c>
      <c r="BO43" s="7" t="s">
        <v>976</v>
      </c>
      <c r="BR43" s="7" t="s">
        <v>976</v>
      </c>
      <c r="BX43" s="7" t="s">
        <v>1022</v>
      </c>
      <c r="BZ43" s="7" t="s">
        <v>976</v>
      </c>
      <c r="CJ43" s="7" t="s">
        <v>976</v>
      </c>
    </row>
    <row r="44" spans="1:89" ht="63.75" x14ac:dyDescent="0.2">
      <c r="A44" s="6" t="s">
        <v>965</v>
      </c>
      <c r="B44" s="7" t="s">
        <v>972</v>
      </c>
      <c r="C44" s="7" t="s">
        <v>1003</v>
      </c>
      <c r="E44" s="7" t="s">
        <v>974</v>
      </c>
      <c r="G44" s="7" t="s">
        <v>975</v>
      </c>
      <c r="H44" s="7" t="s">
        <v>972</v>
      </c>
      <c r="J44" s="7" t="s">
        <v>976</v>
      </c>
      <c r="N44" s="7" t="s">
        <v>977</v>
      </c>
      <c r="P44" s="7" t="s">
        <v>972</v>
      </c>
      <c r="Q44" s="7">
        <v>1</v>
      </c>
      <c r="R44" s="7" t="s">
        <v>978</v>
      </c>
      <c r="T44" s="7" t="s">
        <v>1010</v>
      </c>
      <c r="V44" s="7" t="s">
        <v>1010</v>
      </c>
      <c r="X44" s="7" t="s">
        <v>3528</v>
      </c>
      <c r="Y44" s="7" t="s">
        <v>1148</v>
      </c>
      <c r="Z44" s="7" t="s">
        <v>976</v>
      </c>
      <c r="AC44" s="7" t="s">
        <v>990</v>
      </c>
      <c r="AD44" s="7" t="s">
        <v>1149</v>
      </c>
      <c r="AF44" s="7" t="s">
        <v>976</v>
      </c>
      <c r="AI44" s="7" t="s">
        <v>976</v>
      </c>
      <c r="AO44" s="7">
        <v>0</v>
      </c>
      <c r="AP44" s="7" t="s">
        <v>982</v>
      </c>
      <c r="AV44" s="7" t="s">
        <v>982</v>
      </c>
      <c r="AW44" s="7" t="s">
        <v>982</v>
      </c>
      <c r="AY44" s="7" t="s">
        <v>982</v>
      </c>
      <c r="BD44" s="7" t="s">
        <v>990</v>
      </c>
      <c r="BE44" s="7" t="s">
        <v>1150</v>
      </c>
      <c r="BF44" s="7" t="s">
        <v>976</v>
      </c>
      <c r="BH44" s="7" t="s">
        <v>985</v>
      </c>
      <c r="BJ44" s="7" t="s">
        <v>972</v>
      </c>
      <c r="BK44" s="8">
        <v>50</v>
      </c>
      <c r="BL44" s="9">
        <v>1</v>
      </c>
      <c r="BM44" s="7" t="s">
        <v>972</v>
      </c>
      <c r="BN44" s="8">
        <v>50</v>
      </c>
      <c r="BO44" s="7" t="s">
        <v>976</v>
      </c>
      <c r="BR44" s="7" t="s">
        <v>972</v>
      </c>
      <c r="BT44" s="7" t="s">
        <v>976</v>
      </c>
      <c r="BW44" s="9">
        <v>1</v>
      </c>
      <c r="BX44" s="7" t="s">
        <v>987</v>
      </c>
      <c r="BZ44" s="7" t="s">
        <v>976</v>
      </c>
      <c r="CJ44" s="7" t="s">
        <v>976</v>
      </c>
    </row>
    <row r="45" spans="1:89" ht="38.25" x14ac:dyDescent="0.2">
      <c r="A45" s="6" t="s">
        <v>942</v>
      </c>
      <c r="B45" s="7" t="s">
        <v>972</v>
      </c>
      <c r="C45" s="7" t="s">
        <v>1003</v>
      </c>
      <c r="E45" s="7" t="s">
        <v>974</v>
      </c>
      <c r="G45" s="7" t="s">
        <v>975</v>
      </c>
      <c r="H45" s="7" t="s">
        <v>972</v>
      </c>
      <c r="J45" s="7" t="s">
        <v>976</v>
      </c>
      <c r="N45" s="7" t="s">
        <v>977</v>
      </c>
      <c r="P45" s="7" t="s">
        <v>972</v>
      </c>
      <c r="Q45" s="7">
        <v>0</v>
      </c>
      <c r="R45" s="7" t="s">
        <v>978</v>
      </c>
      <c r="T45" s="7" t="s">
        <v>1010</v>
      </c>
      <c r="V45" s="7" t="s">
        <v>1010</v>
      </c>
      <c r="X45" s="7" t="s">
        <v>3531</v>
      </c>
      <c r="Z45" s="7" t="s">
        <v>976</v>
      </c>
      <c r="AE45" s="7" t="s">
        <v>1091</v>
      </c>
      <c r="AF45" s="7" t="s">
        <v>976</v>
      </c>
      <c r="AI45" s="7" t="s">
        <v>976</v>
      </c>
      <c r="AO45" s="7">
        <v>0</v>
      </c>
      <c r="AP45" s="7" t="s">
        <v>982</v>
      </c>
      <c r="AV45" s="7" t="s">
        <v>993</v>
      </c>
      <c r="AW45" s="7" t="s">
        <v>993</v>
      </c>
      <c r="AY45" s="7" t="s">
        <v>993</v>
      </c>
      <c r="BD45" s="7" t="s">
        <v>984</v>
      </c>
      <c r="BF45" s="7" t="s">
        <v>976</v>
      </c>
      <c r="BH45" s="7" t="s">
        <v>990</v>
      </c>
      <c r="BI45" s="7" t="s">
        <v>1092</v>
      </c>
      <c r="BJ45" s="7" t="s">
        <v>976</v>
      </c>
      <c r="BL45" s="7" t="s">
        <v>1084</v>
      </c>
      <c r="BM45" s="7" t="s">
        <v>972</v>
      </c>
      <c r="BN45" s="8">
        <v>100</v>
      </c>
      <c r="BO45" s="7" t="s">
        <v>976</v>
      </c>
      <c r="BR45" s="7" t="s">
        <v>972</v>
      </c>
      <c r="BT45" s="7" t="s">
        <v>976</v>
      </c>
      <c r="BW45" s="7">
        <v>0</v>
      </c>
      <c r="BX45" s="7" t="s">
        <v>1022</v>
      </c>
      <c r="BZ45" s="7" t="s">
        <v>976</v>
      </c>
      <c r="CJ45" s="7" t="s">
        <v>976</v>
      </c>
    </row>
    <row r="46" spans="1:89" ht="63.75" x14ac:dyDescent="0.2">
      <c r="A46" s="6" t="s">
        <v>955</v>
      </c>
      <c r="B46" s="7" t="s">
        <v>972</v>
      </c>
      <c r="C46" s="7" t="s">
        <v>1003</v>
      </c>
      <c r="E46" s="7" t="s">
        <v>974</v>
      </c>
      <c r="G46" s="7" t="s">
        <v>975</v>
      </c>
      <c r="H46" s="7" t="s">
        <v>972</v>
      </c>
      <c r="J46" s="7" t="s">
        <v>976</v>
      </c>
      <c r="N46" s="7" t="s">
        <v>977</v>
      </c>
      <c r="P46" s="7" t="s">
        <v>972</v>
      </c>
      <c r="Q46" s="7">
        <v>8</v>
      </c>
      <c r="R46" s="7" t="s">
        <v>978</v>
      </c>
      <c r="T46" s="7" t="s">
        <v>1010</v>
      </c>
      <c r="V46" s="7" t="s">
        <v>1010</v>
      </c>
      <c r="X46" s="7" t="s">
        <v>3884</v>
      </c>
      <c r="Z46" s="7" t="s">
        <v>976</v>
      </c>
      <c r="AC46" s="7" t="s">
        <v>990</v>
      </c>
      <c r="AD46" s="7" t="s">
        <v>971</v>
      </c>
      <c r="AE46" s="7" t="s">
        <v>971</v>
      </c>
      <c r="AF46" s="7" t="s">
        <v>976</v>
      </c>
      <c r="AI46" s="7" t="s">
        <v>976</v>
      </c>
      <c r="AO46" s="7">
        <v>0</v>
      </c>
      <c r="AP46" s="7" t="s">
        <v>982</v>
      </c>
      <c r="AV46" s="7" t="s">
        <v>982</v>
      </c>
      <c r="AW46" s="7" t="s">
        <v>982</v>
      </c>
      <c r="AY46" s="7" t="s">
        <v>982</v>
      </c>
      <c r="BD46" s="7" t="s">
        <v>984</v>
      </c>
      <c r="BF46" s="7" t="s">
        <v>976</v>
      </c>
      <c r="BH46" s="7" t="s">
        <v>985</v>
      </c>
      <c r="BJ46" s="7" t="s">
        <v>972</v>
      </c>
      <c r="BK46" s="8">
        <v>100</v>
      </c>
      <c r="BL46" s="7" t="s">
        <v>1124</v>
      </c>
      <c r="BM46" s="7" t="s">
        <v>972</v>
      </c>
      <c r="BN46" s="8">
        <v>100</v>
      </c>
      <c r="BO46" s="7" t="s">
        <v>972</v>
      </c>
      <c r="BP46" s="7">
        <v>100</v>
      </c>
      <c r="BQ46" s="7">
        <v>100</v>
      </c>
      <c r="BR46" s="7" t="s">
        <v>972</v>
      </c>
      <c r="BT46" s="7" t="s">
        <v>972</v>
      </c>
      <c r="BU46" s="7">
        <v>100</v>
      </c>
      <c r="BV46" s="7">
        <v>100</v>
      </c>
      <c r="BW46" s="7" t="s">
        <v>1125</v>
      </c>
      <c r="BX46" s="7" t="s">
        <v>987</v>
      </c>
      <c r="BZ46" s="7" t="s">
        <v>976</v>
      </c>
      <c r="CJ46" s="7" t="s">
        <v>976</v>
      </c>
    </row>
    <row r="47" spans="1:89" ht="63.75" x14ac:dyDescent="0.2">
      <c r="A47" s="12" t="s">
        <v>967</v>
      </c>
      <c r="B47" s="10" t="s">
        <v>972</v>
      </c>
      <c r="C47" s="10" t="s">
        <v>1003</v>
      </c>
      <c r="D47" s="10"/>
      <c r="E47" s="10" t="s">
        <v>974</v>
      </c>
      <c r="F47" s="10"/>
      <c r="G47" s="10" t="s">
        <v>975</v>
      </c>
      <c r="H47" s="10" t="s">
        <v>972</v>
      </c>
      <c r="I47" s="10"/>
      <c r="J47" s="10" t="s">
        <v>976</v>
      </c>
      <c r="K47" s="10"/>
      <c r="L47" s="10"/>
      <c r="M47" s="10"/>
      <c r="N47" s="10" t="s">
        <v>977</v>
      </c>
      <c r="O47" s="10"/>
      <c r="P47" s="10" t="s">
        <v>972</v>
      </c>
      <c r="Q47" s="10">
        <v>1</v>
      </c>
      <c r="R47" s="10" t="s">
        <v>978</v>
      </c>
      <c r="S47" s="10"/>
      <c r="T47" s="10" t="s">
        <v>979</v>
      </c>
      <c r="U47" s="10"/>
      <c r="V47" s="10" t="s">
        <v>1019</v>
      </c>
      <c r="W47" s="10"/>
      <c r="X47" s="10" t="s">
        <v>3514</v>
      </c>
      <c r="Y47" s="10"/>
      <c r="Z47" s="10" t="s">
        <v>976</v>
      </c>
      <c r="AA47" s="10"/>
      <c r="AB47" s="10"/>
      <c r="AC47" s="10"/>
      <c r="AD47" s="10"/>
      <c r="AE47" s="10" t="s">
        <v>1152</v>
      </c>
      <c r="AF47" s="10" t="s">
        <v>976</v>
      </c>
      <c r="AG47" s="10"/>
      <c r="AH47" s="10"/>
      <c r="AI47" s="10" t="s">
        <v>976</v>
      </c>
      <c r="AJ47" s="10"/>
      <c r="AK47" s="10"/>
      <c r="AL47" s="10"/>
      <c r="AM47" s="10"/>
      <c r="AN47" s="10"/>
      <c r="AO47" s="10">
        <v>0</v>
      </c>
      <c r="AP47" s="10" t="s">
        <v>982</v>
      </c>
      <c r="AQ47" s="10"/>
      <c r="AR47" s="10"/>
      <c r="AS47" s="10"/>
      <c r="AT47" s="10"/>
      <c r="AU47" s="10"/>
      <c r="AV47" s="10" t="s">
        <v>982</v>
      </c>
      <c r="AW47" s="10" t="s">
        <v>982</v>
      </c>
      <c r="AX47" s="10"/>
      <c r="AY47" s="10" t="s">
        <v>982</v>
      </c>
      <c r="AZ47" s="10"/>
      <c r="BA47" s="10"/>
      <c r="BB47" s="10"/>
      <c r="BC47" s="10"/>
      <c r="BD47" s="10" t="s">
        <v>984</v>
      </c>
      <c r="BE47" s="10"/>
      <c r="BF47" s="10" t="s">
        <v>976</v>
      </c>
      <c r="BG47" s="11"/>
      <c r="BH47" s="10" t="s">
        <v>990</v>
      </c>
      <c r="BI47" s="10" t="s">
        <v>1153</v>
      </c>
      <c r="BJ47" s="10" t="s">
        <v>972</v>
      </c>
      <c r="BK47" s="11"/>
      <c r="BL47" s="13">
        <v>1</v>
      </c>
      <c r="BM47" s="10" t="s">
        <v>976</v>
      </c>
      <c r="BN47" s="11"/>
      <c r="BO47" s="10" t="s">
        <v>976</v>
      </c>
      <c r="BP47" s="10"/>
      <c r="BQ47" s="10"/>
      <c r="BR47" s="10" t="s">
        <v>972</v>
      </c>
      <c r="BS47" s="11"/>
      <c r="BT47" s="10" t="s">
        <v>976</v>
      </c>
      <c r="BU47" s="10"/>
      <c r="BV47" s="10"/>
      <c r="BW47" s="10" t="s">
        <v>1154</v>
      </c>
      <c r="BX47" s="10" t="s">
        <v>1022</v>
      </c>
      <c r="BY47" s="10"/>
      <c r="BZ47" s="10" t="s">
        <v>972</v>
      </c>
      <c r="CA47" s="10">
        <v>100</v>
      </c>
      <c r="CB47" s="10">
        <v>0</v>
      </c>
      <c r="CC47" s="10" t="s">
        <v>983</v>
      </c>
      <c r="CD47" s="10"/>
      <c r="CE47" s="10"/>
      <c r="CF47" s="10"/>
      <c r="CG47" s="10"/>
      <c r="CH47" s="10"/>
      <c r="CI47" s="10" t="s">
        <v>1155</v>
      </c>
      <c r="CJ47" s="10" t="s">
        <v>976</v>
      </c>
      <c r="CK47" s="10"/>
    </row>
    <row r="48" spans="1:89" ht="216.75" x14ac:dyDescent="0.2">
      <c r="A48" s="6" t="s">
        <v>964</v>
      </c>
      <c r="B48" s="7" t="s">
        <v>972</v>
      </c>
      <c r="C48" s="7" t="s">
        <v>1003</v>
      </c>
      <c r="E48" s="7" t="s">
        <v>988</v>
      </c>
      <c r="F48" s="7" t="s">
        <v>3506</v>
      </c>
      <c r="G48" s="7" t="s">
        <v>975</v>
      </c>
      <c r="H48" s="7" t="s">
        <v>972</v>
      </c>
      <c r="J48" s="7" t="s">
        <v>972</v>
      </c>
      <c r="K48" s="7">
        <v>2</v>
      </c>
      <c r="L48" s="7" t="s">
        <v>976</v>
      </c>
      <c r="N48" s="7" t="s">
        <v>977</v>
      </c>
      <c r="P48" s="7" t="s">
        <v>976</v>
      </c>
      <c r="R48" s="7" t="s">
        <v>1015</v>
      </c>
      <c r="T48" s="7" t="s">
        <v>1010</v>
      </c>
      <c r="V48" s="7" t="s">
        <v>990</v>
      </c>
      <c r="W48" s="7">
        <v>27</v>
      </c>
      <c r="X48" s="7" t="s">
        <v>1140</v>
      </c>
      <c r="Y48" s="7" t="s">
        <v>3537</v>
      </c>
      <c r="Z48" s="7" t="s">
        <v>976</v>
      </c>
      <c r="AC48" s="7" t="s">
        <v>990</v>
      </c>
      <c r="AD48" s="7" t="s">
        <v>1141</v>
      </c>
      <c r="AE48" s="7" t="s">
        <v>1142</v>
      </c>
      <c r="AF48" s="7" t="s">
        <v>976</v>
      </c>
      <c r="AI48" s="7" t="s">
        <v>972</v>
      </c>
      <c r="AJ48" s="7" t="s">
        <v>3540</v>
      </c>
      <c r="AK48" s="7" t="s">
        <v>1143</v>
      </c>
      <c r="AL48" s="7" t="s">
        <v>1144</v>
      </c>
      <c r="AN48" s="7">
        <v>0</v>
      </c>
      <c r="AO48" s="7">
        <v>31</v>
      </c>
      <c r="AP48" s="7" t="s">
        <v>993</v>
      </c>
      <c r="AQ48" s="7" t="s">
        <v>1145</v>
      </c>
      <c r="AS48" s="9">
        <v>0.5</v>
      </c>
      <c r="AV48" s="7" t="s">
        <v>993</v>
      </c>
      <c r="AW48" s="7" t="s">
        <v>993</v>
      </c>
      <c r="AX48" s="7" t="s">
        <v>993</v>
      </c>
      <c r="AY48" s="7" t="s">
        <v>993</v>
      </c>
      <c r="BD48" s="7" t="s">
        <v>990</v>
      </c>
      <c r="BE48" s="7" t="s">
        <v>1146</v>
      </c>
      <c r="BF48" s="7" t="s">
        <v>976</v>
      </c>
      <c r="BH48" s="7" t="s">
        <v>990</v>
      </c>
      <c r="BI48" s="7" t="s">
        <v>1147</v>
      </c>
      <c r="BJ48" s="7" t="s">
        <v>972</v>
      </c>
      <c r="BM48" s="7" t="s">
        <v>972</v>
      </c>
      <c r="BN48" s="8">
        <v>100</v>
      </c>
      <c r="BO48" s="7" t="s">
        <v>976</v>
      </c>
      <c r="BR48" s="7" t="s">
        <v>972</v>
      </c>
      <c r="BT48" s="7" t="s">
        <v>976</v>
      </c>
      <c r="BX48" s="7" t="s">
        <v>1022</v>
      </c>
      <c r="BZ48" s="7" t="s">
        <v>976</v>
      </c>
      <c r="CJ48" s="7" t="s">
        <v>976</v>
      </c>
    </row>
    <row r="49" spans="1:89" ht="38.25" x14ac:dyDescent="0.2">
      <c r="A49" s="6" t="s">
        <v>951</v>
      </c>
      <c r="B49" s="7" t="s">
        <v>972</v>
      </c>
      <c r="C49" s="7" t="s">
        <v>1003</v>
      </c>
      <c r="E49" s="7" t="s">
        <v>974</v>
      </c>
      <c r="G49" s="7" t="s">
        <v>975</v>
      </c>
      <c r="H49" s="7" t="s">
        <v>972</v>
      </c>
      <c r="J49" s="7" t="s">
        <v>976</v>
      </c>
      <c r="N49" s="7" t="s">
        <v>977</v>
      </c>
      <c r="P49" s="7" t="s">
        <v>972</v>
      </c>
      <c r="Q49" s="7">
        <v>0</v>
      </c>
      <c r="R49" s="7" t="s">
        <v>978</v>
      </c>
      <c r="T49" s="7" t="s">
        <v>1010</v>
      </c>
      <c r="V49" s="7" t="s">
        <v>1010</v>
      </c>
      <c r="X49" s="7" t="s">
        <v>3529</v>
      </c>
      <c r="Y49" s="7" t="s">
        <v>1113</v>
      </c>
      <c r="Z49" s="7" t="s">
        <v>976</v>
      </c>
      <c r="AF49" s="7" t="s">
        <v>976</v>
      </c>
      <c r="AI49" s="7" t="s">
        <v>976</v>
      </c>
      <c r="AO49" s="7">
        <v>0</v>
      </c>
      <c r="AP49" s="7" t="s">
        <v>982</v>
      </c>
      <c r="AV49" s="7" t="s">
        <v>982</v>
      </c>
      <c r="AW49" s="7" t="s">
        <v>982</v>
      </c>
      <c r="AY49" s="7" t="s">
        <v>982</v>
      </c>
      <c r="BD49" s="7" t="s">
        <v>990</v>
      </c>
      <c r="BE49" s="7" t="s">
        <v>1114</v>
      </c>
      <c r="BF49" s="7" t="s">
        <v>976</v>
      </c>
      <c r="BJ49" s="7" t="s">
        <v>972</v>
      </c>
      <c r="BL49" s="7" t="s">
        <v>1052</v>
      </c>
      <c r="BM49" s="7" t="s">
        <v>976</v>
      </c>
      <c r="BO49" s="7" t="s">
        <v>976</v>
      </c>
      <c r="BR49" s="7" t="s">
        <v>972</v>
      </c>
      <c r="BS49" s="8">
        <v>1500</v>
      </c>
      <c r="BT49" s="7" t="s">
        <v>972</v>
      </c>
      <c r="BU49" s="7">
        <v>100</v>
      </c>
      <c r="BV49" s="7">
        <v>100</v>
      </c>
      <c r="BX49" s="7" t="s">
        <v>987</v>
      </c>
      <c r="BZ49" s="7" t="s">
        <v>976</v>
      </c>
      <c r="CJ49" s="7" t="s">
        <v>976</v>
      </c>
    </row>
    <row r="50" spans="1:89" s="14" customFormat="1" ht="76.5" x14ac:dyDescent="0.2">
      <c r="A50" s="6" t="s">
        <v>954</v>
      </c>
      <c r="B50" s="7" t="s">
        <v>972</v>
      </c>
      <c r="C50" s="7" t="s">
        <v>990</v>
      </c>
      <c r="D50" s="7" t="s">
        <v>1119</v>
      </c>
      <c r="E50" s="7" t="s">
        <v>974</v>
      </c>
      <c r="F50" s="7"/>
      <c r="G50" s="7" t="s">
        <v>975</v>
      </c>
      <c r="H50" s="7" t="s">
        <v>972</v>
      </c>
      <c r="I50" s="7"/>
      <c r="J50" s="7" t="s">
        <v>976</v>
      </c>
      <c r="K50" s="7"/>
      <c r="L50" s="7"/>
      <c r="M50" s="7"/>
      <c r="N50" s="7" t="s">
        <v>977</v>
      </c>
      <c r="O50" s="7"/>
      <c r="P50" s="7" t="s">
        <v>972</v>
      </c>
      <c r="Q50" s="7">
        <v>20</v>
      </c>
      <c r="R50" s="7" t="s">
        <v>978</v>
      </c>
      <c r="S50" s="7"/>
      <c r="T50" s="7" t="s">
        <v>1019</v>
      </c>
      <c r="U50" s="7"/>
      <c r="V50" s="7" t="s">
        <v>1005</v>
      </c>
      <c r="W50" s="7"/>
      <c r="X50" s="7" t="s">
        <v>1120</v>
      </c>
      <c r="Y50" s="7"/>
      <c r="Z50" s="7" t="s">
        <v>972</v>
      </c>
      <c r="AA50" s="7" t="s">
        <v>3538</v>
      </c>
      <c r="AB50" s="7"/>
      <c r="AC50" s="7" t="s">
        <v>990</v>
      </c>
      <c r="AD50" s="7" t="s">
        <v>1121</v>
      </c>
      <c r="AE50" s="7"/>
      <c r="AF50" s="7" t="s">
        <v>976</v>
      </c>
      <c r="AG50" s="7"/>
      <c r="AH50" s="7"/>
      <c r="AI50" s="7" t="s">
        <v>972</v>
      </c>
      <c r="AJ50" s="7" t="s">
        <v>3539</v>
      </c>
      <c r="AK50" s="7" t="s">
        <v>1014</v>
      </c>
      <c r="AL50" s="7">
        <v>0</v>
      </c>
      <c r="AM50" s="7">
        <v>0</v>
      </c>
      <c r="AN50" s="7">
        <v>0</v>
      </c>
      <c r="AO50" s="7">
        <v>0</v>
      </c>
      <c r="AP50" s="7" t="s">
        <v>982</v>
      </c>
      <c r="AQ50" s="7"/>
      <c r="AR50" s="7"/>
      <c r="AS50" s="7"/>
      <c r="AT50" s="7"/>
      <c r="AU50" s="7"/>
      <c r="AV50" s="7" t="s">
        <v>983</v>
      </c>
      <c r="AW50" s="7" t="s">
        <v>983</v>
      </c>
      <c r="AX50" s="7"/>
      <c r="AY50" s="7" t="s">
        <v>983</v>
      </c>
      <c r="AZ50" s="7"/>
      <c r="BA50" s="7"/>
      <c r="BB50" s="7"/>
      <c r="BC50" s="7"/>
      <c r="BD50" s="7" t="s">
        <v>990</v>
      </c>
      <c r="BE50" s="7" t="s">
        <v>1122</v>
      </c>
      <c r="BF50" s="7" t="s">
        <v>976</v>
      </c>
      <c r="BG50" s="8"/>
      <c r="BH50" s="7" t="s">
        <v>985</v>
      </c>
      <c r="BI50" s="7"/>
      <c r="BJ50" s="7" t="s">
        <v>972</v>
      </c>
      <c r="BK50" s="8"/>
      <c r="BL50" s="7" t="s">
        <v>1084</v>
      </c>
      <c r="BM50" s="7" t="s">
        <v>972</v>
      </c>
      <c r="BN50" s="8"/>
      <c r="BO50" s="7" t="s">
        <v>972</v>
      </c>
      <c r="BP50" s="7">
        <v>120</v>
      </c>
      <c r="BQ50" s="7">
        <v>120</v>
      </c>
      <c r="BR50" s="7" t="s">
        <v>972</v>
      </c>
      <c r="BS50" s="8"/>
      <c r="BT50" s="7" t="s">
        <v>972</v>
      </c>
      <c r="BU50" s="7">
        <v>120</v>
      </c>
      <c r="BV50" s="7">
        <v>120</v>
      </c>
      <c r="BW50" s="7" t="s">
        <v>1123</v>
      </c>
      <c r="BX50" s="7" t="s">
        <v>987</v>
      </c>
      <c r="BY50" s="7"/>
      <c r="BZ50" s="7" t="s">
        <v>976</v>
      </c>
      <c r="CA50" s="7"/>
      <c r="CB50" s="7"/>
      <c r="CC50" s="7"/>
      <c r="CD50" s="7"/>
      <c r="CE50" s="7"/>
      <c r="CF50" s="7"/>
      <c r="CG50" s="7"/>
      <c r="CH50" s="7"/>
      <c r="CI50" s="7"/>
      <c r="CJ50" s="7" t="s">
        <v>976</v>
      </c>
      <c r="CK50" s="7"/>
    </row>
    <row r="51" spans="1:89" ht="51" x14ac:dyDescent="0.2">
      <c r="A51" s="6" t="s">
        <v>944</v>
      </c>
      <c r="B51" s="7" t="s">
        <v>972</v>
      </c>
      <c r="C51" s="7" t="s">
        <v>1003</v>
      </c>
      <c r="E51" s="7" t="s">
        <v>974</v>
      </c>
      <c r="G51" s="7" t="s">
        <v>975</v>
      </c>
      <c r="H51" s="7" t="s">
        <v>972</v>
      </c>
      <c r="J51" s="7" t="s">
        <v>976</v>
      </c>
      <c r="N51" s="7" t="s">
        <v>977</v>
      </c>
      <c r="P51" s="7" t="s">
        <v>972</v>
      </c>
      <c r="R51" s="7" t="s">
        <v>978</v>
      </c>
      <c r="T51" s="7" t="s">
        <v>1019</v>
      </c>
      <c r="V51" s="7" t="s">
        <v>1010</v>
      </c>
      <c r="X51" s="7" t="s">
        <v>1094</v>
      </c>
      <c r="AF51" s="7" t="s">
        <v>972</v>
      </c>
      <c r="AG51" s="7" t="s">
        <v>990</v>
      </c>
      <c r="AH51" s="7" t="s">
        <v>1095</v>
      </c>
      <c r="AI51" s="7" t="s">
        <v>976</v>
      </c>
      <c r="AO51" s="7">
        <v>0</v>
      </c>
      <c r="AP51" s="7" t="s">
        <v>982</v>
      </c>
      <c r="AV51" s="7" t="s">
        <v>982</v>
      </c>
      <c r="AW51" s="7" t="s">
        <v>982</v>
      </c>
      <c r="AY51" s="7" t="s">
        <v>982</v>
      </c>
      <c r="BD51" s="7" t="s">
        <v>990</v>
      </c>
      <c r="BE51" s="7" t="s">
        <v>1096</v>
      </c>
      <c r="BF51" s="7" t="s">
        <v>976</v>
      </c>
      <c r="BH51" s="7" t="s">
        <v>990</v>
      </c>
      <c r="BI51" s="7" t="s">
        <v>1097</v>
      </c>
      <c r="BJ51" s="7" t="s">
        <v>972</v>
      </c>
      <c r="BM51" s="7" t="s">
        <v>972</v>
      </c>
      <c r="BN51" s="8">
        <v>50</v>
      </c>
      <c r="BO51" s="7" t="s">
        <v>972</v>
      </c>
      <c r="BP51" s="7">
        <v>100</v>
      </c>
      <c r="BR51" s="7" t="s">
        <v>972</v>
      </c>
      <c r="BT51" s="7" t="s">
        <v>972</v>
      </c>
      <c r="BU51" s="7">
        <v>100</v>
      </c>
      <c r="BW51" s="9">
        <v>1</v>
      </c>
      <c r="BX51" s="7" t="s">
        <v>987</v>
      </c>
      <c r="BZ51" s="7" t="s">
        <v>976</v>
      </c>
      <c r="CJ51" s="7" t="s">
        <v>976</v>
      </c>
    </row>
    <row r="52" spans="1:89" ht="114.75" x14ac:dyDescent="0.2">
      <c r="A52" s="6" t="s">
        <v>950</v>
      </c>
      <c r="B52" s="7" t="s">
        <v>972</v>
      </c>
      <c r="C52" s="7" t="s">
        <v>1003</v>
      </c>
      <c r="E52" s="7" t="s">
        <v>974</v>
      </c>
      <c r="G52" s="7" t="s">
        <v>975</v>
      </c>
      <c r="H52" s="7" t="s">
        <v>972</v>
      </c>
      <c r="J52" s="7" t="s">
        <v>976</v>
      </c>
      <c r="N52" s="7" t="s">
        <v>977</v>
      </c>
      <c r="P52" s="7" t="s">
        <v>972</v>
      </c>
      <c r="Q52" s="7">
        <v>1</v>
      </c>
      <c r="R52" s="7" t="s">
        <v>978</v>
      </c>
      <c r="T52" s="7" t="s">
        <v>1010</v>
      </c>
      <c r="V52" s="7" t="s">
        <v>1010</v>
      </c>
      <c r="X52" s="7" t="s">
        <v>3527</v>
      </c>
      <c r="Z52" s="7" t="s">
        <v>972</v>
      </c>
      <c r="AA52" s="7" t="s">
        <v>1071</v>
      </c>
      <c r="AC52" s="7" t="s">
        <v>990</v>
      </c>
      <c r="AD52" s="7" t="s">
        <v>1110</v>
      </c>
      <c r="AE52" s="7" t="s">
        <v>1111</v>
      </c>
      <c r="AF52" s="7" t="s">
        <v>976</v>
      </c>
      <c r="AI52" s="7" t="s">
        <v>976</v>
      </c>
      <c r="AO52" s="7">
        <v>0</v>
      </c>
      <c r="AP52" s="7" t="s">
        <v>982</v>
      </c>
      <c r="AV52" s="7" t="s">
        <v>982</v>
      </c>
      <c r="AW52" s="7" t="s">
        <v>982</v>
      </c>
      <c r="AY52" s="7" t="s">
        <v>982</v>
      </c>
      <c r="BD52" s="7" t="s">
        <v>984</v>
      </c>
      <c r="BF52" s="7" t="s">
        <v>976</v>
      </c>
      <c r="BH52" s="7" t="s">
        <v>990</v>
      </c>
      <c r="BI52" s="7" t="s">
        <v>1112</v>
      </c>
      <c r="BJ52" s="7" t="s">
        <v>972</v>
      </c>
      <c r="BL52" s="7" t="s">
        <v>1039</v>
      </c>
      <c r="BM52" s="7" t="s">
        <v>972</v>
      </c>
      <c r="BN52" s="8">
        <v>50</v>
      </c>
      <c r="BO52" s="7" t="s">
        <v>976</v>
      </c>
      <c r="BR52" s="7" t="s">
        <v>972</v>
      </c>
      <c r="BT52" s="7" t="s">
        <v>976</v>
      </c>
      <c r="BW52" s="7" t="s">
        <v>1039</v>
      </c>
      <c r="BX52" s="7" t="s">
        <v>987</v>
      </c>
      <c r="BZ52" s="7" t="s">
        <v>976</v>
      </c>
      <c r="CJ52" s="7" t="s">
        <v>976</v>
      </c>
    </row>
    <row r="53" spans="1:89" ht="38.25" x14ac:dyDescent="0.2">
      <c r="A53" s="6" t="s">
        <v>940</v>
      </c>
      <c r="B53" s="7" t="s">
        <v>972</v>
      </c>
      <c r="C53" s="7" t="s">
        <v>1003</v>
      </c>
      <c r="E53" s="7" t="s">
        <v>974</v>
      </c>
      <c r="G53" s="7" t="s">
        <v>975</v>
      </c>
      <c r="H53" s="7" t="s">
        <v>972</v>
      </c>
      <c r="J53" s="7" t="s">
        <v>976</v>
      </c>
      <c r="N53" s="7" t="s">
        <v>977</v>
      </c>
      <c r="P53" s="7" t="s">
        <v>972</v>
      </c>
      <c r="Q53" s="7">
        <v>20</v>
      </c>
      <c r="R53" s="7" t="s">
        <v>978</v>
      </c>
      <c r="T53" s="7" t="s">
        <v>1010</v>
      </c>
      <c r="V53" s="7" t="s">
        <v>1010</v>
      </c>
      <c r="X53" s="7" t="s">
        <v>3516</v>
      </c>
      <c r="Z53" s="7" t="s">
        <v>976</v>
      </c>
      <c r="AC53" s="7" t="s">
        <v>990</v>
      </c>
      <c r="AD53" s="7" t="s">
        <v>1089</v>
      </c>
      <c r="AE53" s="7" t="s">
        <v>970</v>
      </c>
      <c r="AF53" s="7" t="s">
        <v>976</v>
      </c>
      <c r="AI53" s="7" t="s">
        <v>976</v>
      </c>
      <c r="AO53" s="7">
        <v>0</v>
      </c>
      <c r="AP53" s="7" t="s">
        <v>982</v>
      </c>
      <c r="AV53" s="7" t="s">
        <v>982</v>
      </c>
      <c r="AW53" s="7" t="s">
        <v>982</v>
      </c>
      <c r="AY53" s="7" t="s">
        <v>982</v>
      </c>
      <c r="BD53" s="7" t="s">
        <v>984</v>
      </c>
      <c r="BF53" s="7" t="s">
        <v>976</v>
      </c>
      <c r="BH53" s="7" t="s">
        <v>985</v>
      </c>
      <c r="BJ53" s="7" t="s">
        <v>972</v>
      </c>
      <c r="BL53" s="7">
        <v>0</v>
      </c>
      <c r="BM53" s="7" t="s">
        <v>976</v>
      </c>
      <c r="BO53" s="7" t="s">
        <v>976</v>
      </c>
      <c r="BR53" s="7" t="s">
        <v>972</v>
      </c>
      <c r="BT53" s="7" t="s">
        <v>976</v>
      </c>
      <c r="BW53" s="7">
        <v>0</v>
      </c>
      <c r="BX53" s="7" t="s">
        <v>987</v>
      </c>
      <c r="BZ53" s="7" t="s">
        <v>976</v>
      </c>
      <c r="CJ53" s="7" t="s">
        <v>976</v>
      </c>
    </row>
    <row r="54" spans="1:89" ht="38.25" x14ac:dyDescent="0.2">
      <c r="A54" s="6" t="s">
        <v>960</v>
      </c>
      <c r="B54" s="7" t="s">
        <v>972</v>
      </c>
      <c r="C54" s="7" t="s">
        <v>973</v>
      </c>
      <c r="E54" s="7" t="s">
        <v>974</v>
      </c>
      <c r="G54" s="7" t="s">
        <v>975</v>
      </c>
      <c r="H54" s="7" t="s">
        <v>972</v>
      </c>
      <c r="J54" s="7" t="s">
        <v>976</v>
      </c>
      <c r="N54" s="7" t="s">
        <v>977</v>
      </c>
      <c r="P54" s="7" t="s">
        <v>972</v>
      </c>
      <c r="R54" s="7" t="s">
        <v>978</v>
      </c>
      <c r="T54" s="7" t="s">
        <v>1005</v>
      </c>
      <c r="V54" s="7" t="s">
        <v>1005</v>
      </c>
      <c r="X54" s="7" t="s">
        <v>3521</v>
      </c>
      <c r="Z54" s="7" t="s">
        <v>976</v>
      </c>
      <c r="AF54" s="7" t="s">
        <v>976</v>
      </c>
      <c r="AI54" s="7" t="s">
        <v>976</v>
      </c>
      <c r="AO54" s="7">
        <v>0</v>
      </c>
      <c r="AP54" s="7" t="s">
        <v>982</v>
      </c>
      <c r="AV54" s="7" t="s">
        <v>993</v>
      </c>
      <c r="AW54" s="7" t="s">
        <v>993</v>
      </c>
      <c r="AY54" s="7" t="s">
        <v>993</v>
      </c>
      <c r="BD54" s="7" t="s">
        <v>984</v>
      </c>
      <c r="BF54" s="7" t="s">
        <v>976</v>
      </c>
      <c r="BH54" s="7" t="s">
        <v>985</v>
      </c>
      <c r="BJ54" s="7" t="s">
        <v>972</v>
      </c>
      <c r="BM54" s="7" t="s">
        <v>972</v>
      </c>
      <c r="BN54" s="8">
        <v>100</v>
      </c>
      <c r="BO54" s="7" t="s">
        <v>976</v>
      </c>
      <c r="BR54" s="7" t="s">
        <v>972</v>
      </c>
      <c r="BT54" s="7" t="s">
        <v>976</v>
      </c>
      <c r="BX54" s="7" t="s">
        <v>1022</v>
      </c>
      <c r="BZ54" s="7" t="s">
        <v>972</v>
      </c>
      <c r="CC54" s="7" t="s">
        <v>982</v>
      </c>
      <c r="CI54" s="7" t="s">
        <v>1022</v>
      </c>
      <c r="CJ54" s="7" t="s">
        <v>976</v>
      </c>
    </row>
    <row r="55" spans="1:89" ht="51" x14ac:dyDescent="0.2">
      <c r="A55" s="6" t="s">
        <v>916</v>
      </c>
      <c r="B55" s="7" t="s">
        <v>972</v>
      </c>
      <c r="C55" s="7" t="s">
        <v>1003</v>
      </c>
      <c r="E55" s="7" t="s">
        <v>974</v>
      </c>
      <c r="G55" s="7" t="s">
        <v>975</v>
      </c>
      <c r="H55" s="7" t="s">
        <v>972</v>
      </c>
      <c r="J55" s="7" t="s">
        <v>976</v>
      </c>
      <c r="N55" s="7" t="s">
        <v>977</v>
      </c>
      <c r="P55" s="7" t="s">
        <v>972</v>
      </c>
      <c r="Q55" s="7">
        <v>0</v>
      </c>
      <c r="R55" s="7" t="s">
        <v>1015</v>
      </c>
      <c r="T55" s="7" t="s">
        <v>1005</v>
      </c>
      <c r="V55" s="7" t="s">
        <v>1005</v>
      </c>
      <c r="X55" s="7" t="s">
        <v>3510</v>
      </c>
      <c r="Y55" s="7" t="s">
        <v>1016</v>
      </c>
      <c r="Z55" s="7" t="s">
        <v>976</v>
      </c>
      <c r="AF55" s="7" t="s">
        <v>976</v>
      </c>
      <c r="AI55" s="7" t="s">
        <v>972</v>
      </c>
      <c r="AJ55" s="7" t="s">
        <v>1017</v>
      </c>
      <c r="AK55" s="7" t="s">
        <v>1014</v>
      </c>
      <c r="AL55" s="7">
        <v>0</v>
      </c>
      <c r="AM55" s="7">
        <v>0</v>
      </c>
      <c r="AN55" s="7">
        <v>0</v>
      </c>
      <c r="AO55" s="7">
        <v>0</v>
      </c>
      <c r="AP55" s="7" t="s">
        <v>982</v>
      </c>
      <c r="AV55" s="7" t="s">
        <v>982</v>
      </c>
      <c r="AW55" s="7" t="s">
        <v>982</v>
      </c>
      <c r="AX55" s="7" t="s">
        <v>982</v>
      </c>
      <c r="AY55" s="7" t="s">
        <v>982</v>
      </c>
      <c r="BD55" s="7" t="s">
        <v>984</v>
      </c>
      <c r="BF55" s="7" t="s">
        <v>976</v>
      </c>
      <c r="BH55" s="7" t="s">
        <v>985</v>
      </c>
      <c r="BJ55" s="7" t="s">
        <v>972</v>
      </c>
      <c r="BL55" s="7" t="s">
        <v>1018</v>
      </c>
      <c r="BM55" s="7" t="s">
        <v>976</v>
      </c>
      <c r="BO55" s="7" t="s">
        <v>976</v>
      </c>
      <c r="BR55" s="7" t="s">
        <v>972</v>
      </c>
      <c r="BT55" s="7" t="s">
        <v>976</v>
      </c>
      <c r="BX55" s="7" t="s">
        <v>987</v>
      </c>
      <c r="BZ55" s="7" t="s">
        <v>976</v>
      </c>
      <c r="CJ55" s="7" t="s">
        <v>976</v>
      </c>
    </row>
    <row r="56" spans="1:89" ht="63.75" x14ac:dyDescent="0.2">
      <c r="A56" s="6" t="s">
        <v>946</v>
      </c>
      <c r="B56" s="7" t="s">
        <v>972</v>
      </c>
      <c r="C56" s="7" t="s">
        <v>1003</v>
      </c>
      <c r="E56" s="7" t="s">
        <v>974</v>
      </c>
      <c r="G56" s="7" t="s">
        <v>975</v>
      </c>
      <c r="H56" s="7" t="s">
        <v>972</v>
      </c>
      <c r="J56" s="7" t="s">
        <v>976</v>
      </c>
      <c r="N56" s="7" t="s">
        <v>977</v>
      </c>
      <c r="P56" s="7" t="s">
        <v>972</v>
      </c>
      <c r="Q56" s="7">
        <v>0</v>
      </c>
      <c r="R56" s="7" t="s">
        <v>1015</v>
      </c>
      <c r="T56" s="7" t="s">
        <v>1005</v>
      </c>
      <c r="V56" s="7" t="s">
        <v>1005</v>
      </c>
      <c r="X56" s="7" t="s">
        <v>3523</v>
      </c>
      <c r="Z56" s="7" t="s">
        <v>976</v>
      </c>
      <c r="AF56" s="7" t="s">
        <v>976</v>
      </c>
      <c r="AI56" s="7" t="s">
        <v>976</v>
      </c>
      <c r="AO56" s="7">
        <v>0</v>
      </c>
      <c r="AP56" s="7" t="s">
        <v>982</v>
      </c>
      <c r="AV56" s="7" t="s">
        <v>983</v>
      </c>
      <c r="AW56" s="7" t="s">
        <v>983</v>
      </c>
      <c r="AX56" s="7" t="s">
        <v>983</v>
      </c>
      <c r="AY56" s="7" t="s">
        <v>983</v>
      </c>
      <c r="BD56" s="7" t="s">
        <v>1007</v>
      </c>
      <c r="BF56" s="7" t="s">
        <v>976</v>
      </c>
      <c r="BH56" s="7" t="s">
        <v>985</v>
      </c>
      <c r="BJ56" s="7" t="s">
        <v>972</v>
      </c>
      <c r="BK56" s="8">
        <v>50</v>
      </c>
      <c r="BL56" s="7" t="s">
        <v>1084</v>
      </c>
      <c r="BM56" s="7" t="s">
        <v>972</v>
      </c>
      <c r="BN56" s="8">
        <v>50</v>
      </c>
      <c r="BO56" s="7" t="s">
        <v>972</v>
      </c>
      <c r="BP56" s="7">
        <v>100</v>
      </c>
      <c r="BQ56" s="7">
        <v>100</v>
      </c>
      <c r="BR56" s="7" t="s">
        <v>972</v>
      </c>
      <c r="BT56" s="7" t="s">
        <v>972</v>
      </c>
      <c r="BU56" s="7">
        <v>100</v>
      </c>
      <c r="BV56" s="7">
        <v>100</v>
      </c>
      <c r="BW56" s="7" t="s">
        <v>986</v>
      </c>
      <c r="BX56" s="7" t="s">
        <v>987</v>
      </c>
      <c r="BZ56" s="7" t="s">
        <v>976</v>
      </c>
      <c r="CJ56" s="7" t="s">
        <v>976</v>
      </c>
    </row>
    <row r="57" spans="1:89" ht="51" x14ac:dyDescent="0.2">
      <c r="A57" s="6" t="s">
        <v>919</v>
      </c>
      <c r="B57" s="7" t="s">
        <v>972</v>
      </c>
      <c r="C57" s="7" t="s">
        <v>973</v>
      </c>
      <c r="E57" s="7" t="s">
        <v>974</v>
      </c>
      <c r="G57" s="7" t="s">
        <v>1027</v>
      </c>
      <c r="J57" s="7" t="s">
        <v>972</v>
      </c>
      <c r="K57" s="7">
        <v>4</v>
      </c>
      <c r="L57" s="7" t="s">
        <v>972</v>
      </c>
      <c r="N57" s="7" t="s">
        <v>977</v>
      </c>
      <c r="P57" s="7" t="s">
        <v>972</v>
      </c>
      <c r="Q57" s="7">
        <v>15</v>
      </c>
      <c r="X57" s="7" t="s">
        <v>1028</v>
      </c>
      <c r="Z57" s="7" t="s">
        <v>976</v>
      </c>
      <c r="AC57" s="7" t="s">
        <v>990</v>
      </c>
      <c r="AD57" s="7" t="s">
        <v>1029</v>
      </c>
      <c r="AE57" s="7" t="s">
        <v>1029</v>
      </c>
      <c r="AF57" s="7" t="s">
        <v>976</v>
      </c>
      <c r="AI57" s="7" t="s">
        <v>976</v>
      </c>
      <c r="AO57" s="7">
        <v>0</v>
      </c>
      <c r="AP57" s="7" t="s">
        <v>982</v>
      </c>
      <c r="BD57" s="7" t="s">
        <v>990</v>
      </c>
      <c r="BE57" s="7" t="s">
        <v>1030</v>
      </c>
      <c r="BF57" s="7" t="s">
        <v>976</v>
      </c>
      <c r="BH57" s="7" t="s">
        <v>985</v>
      </c>
      <c r="BJ57" s="7" t="s">
        <v>972</v>
      </c>
      <c r="BK57" s="8">
        <v>100</v>
      </c>
      <c r="BM57" s="7" t="s">
        <v>972</v>
      </c>
      <c r="BN57" s="8">
        <v>100</v>
      </c>
      <c r="BO57" s="7" t="s">
        <v>976</v>
      </c>
      <c r="BR57" s="7" t="s">
        <v>972</v>
      </c>
      <c r="BS57" s="8">
        <v>1250</v>
      </c>
      <c r="BT57" s="7" t="s">
        <v>976</v>
      </c>
      <c r="BX57" s="7" t="s">
        <v>1022</v>
      </c>
      <c r="BZ57" s="7" t="s">
        <v>976</v>
      </c>
      <c r="CJ57" s="7" t="s">
        <v>976</v>
      </c>
    </row>
    <row r="58" spans="1:89" ht="76.5" x14ac:dyDescent="0.2">
      <c r="A58" s="6" t="s">
        <v>929</v>
      </c>
      <c r="B58" s="7" t="s">
        <v>972</v>
      </c>
      <c r="C58" s="7" t="s">
        <v>1003</v>
      </c>
      <c r="E58" s="7" t="s">
        <v>974</v>
      </c>
      <c r="G58" s="7" t="s">
        <v>975</v>
      </c>
      <c r="H58" s="7" t="s">
        <v>972</v>
      </c>
      <c r="J58" s="7" t="s">
        <v>976</v>
      </c>
      <c r="N58" s="7" t="s">
        <v>977</v>
      </c>
      <c r="P58" s="7" t="s">
        <v>972</v>
      </c>
      <c r="Q58" s="7">
        <v>0</v>
      </c>
      <c r="R58" s="7" t="s">
        <v>1015</v>
      </c>
      <c r="T58" s="7" t="s">
        <v>979</v>
      </c>
      <c r="V58" s="7" t="s">
        <v>979</v>
      </c>
      <c r="X58" s="7" t="s">
        <v>1058</v>
      </c>
      <c r="Z58" s="7" t="s">
        <v>976</v>
      </c>
      <c r="AF58" s="7" t="s">
        <v>976</v>
      </c>
      <c r="AI58" s="7" t="s">
        <v>976</v>
      </c>
      <c r="AO58" s="7">
        <v>0</v>
      </c>
      <c r="AP58" s="7" t="s">
        <v>982</v>
      </c>
      <c r="AV58" s="7" t="s">
        <v>983</v>
      </c>
      <c r="AW58" s="7" t="s">
        <v>983</v>
      </c>
      <c r="AX58" s="7" t="s">
        <v>983</v>
      </c>
      <c r="AY58" s="7" t="s">
        <v>983</v>
      </c>
      <c r="BD58" s="7" t="s">
        <v>984</v>
      </c>
      <c r="BF58" s="7" t="s">
        <v>976</v>
      </c>
      <c r="BH58" s="7" t="s">
        <v>1034</v>
      </c>
      <c r="BJ58" s="7" t="s">
        <v>972</v>
      </c>
      <c r="BL58" s="7" t="s">
        <v>1059</v>
      </c>
      <c r="BM58" s="7" t="s">
        <v>972</v>
      </c>
      <c r="BO58" s="7" t="s">
        <v>976</v>
      </c>
      <c r="BR58" s="7" t="s">
        <v>972</v>
      </c>
      <c r="BT58" s="7" t="s">
        <v>976</v>
      </c>
      <c r="BW58" s="7">
        <v>0</v>
      </c>
      <c r="BX58" s="7" t="s">
        <v>1022</v>
      </c>
      <c r="BZ58" s="7" t="s">
        <v>976</v>
      </c>
      <c r="CJ58" s="7" t="s">
        <v>976</v>
      </c>
    </row>
    <row r="59" spans="1:89" s="12" customFormat="1" ht="25.5" x14ac:dyDescent="0.2">
      <c r="A59" s="6" t="s">
        <v>943</v>
      </c>
      <c r="B59" s="7" t="s">
        <v>972</v>
      </c>
      <c r="C59" s="7" t="s">
        <v>1003</v>
      </c>
      <c r="D59" s="7"/>
      <c r="E59" s="7" t="s">
        <v>974</v>
      </c>
      <c r="F59" s="7"/>
      <c r="G59" s="7" t="s">
        <v>975</v>
      </c>
      <c r="H59" s="7" t="s">
        <v>972</v>
      </c>
      <c r="I59" s="7"/>
      <c r="J59" s="7" t="s">
        <v>976</v>
      </c>
      <c r="K59" s="7"/>
      <c r="L59" s="7"/>
      <c r="M59" s="7"/>
      <c r="N59" s="7" t="s">
        <v>977</v>
      </c>
      <c r="O59" s="7"/>
      <c r="P59" s="7" t="s">
        <v>972</v>
      </c>
      <c r="Q59" s="7">
        <v>0</v>
      </c>
      <c r="R59" s="7" t="s">
        <v>978</v>
      </c>
      <c r="S59" s="7"/>
      <c r="T59" s="7" t="s">
        <v>979</v>
      </c>
      <c r="U59" s="7"/>
      <c r="V59" s="7" t="s">
        <v>1019</v>
      </c>
      <c r="W59" s="7"/>
      <c r="X59" s="7" t="s">
        <v>1093</v>
      </c>
      <c r="Y59" s="7"/>
      <c r="Z59" s="7" t="s">
        <v>976</v>
      </c>
      <c r="AA59" s="7"/>
      <c r="AB59" s="7"/>
      <c r="AC59" s="7"/>
      <c r="AD59" s="7"/>
      <c r="AE59" s="7"/>
      <c r="AF59" s="7" t="s">
        <v>976</v>
      </c>
      <c r="AG59" s="7"/>
      <c r="AH59" s="7"/>
      <c r="AI59" s="7" t="s">
        <v>976</v>
      </c>
      <c r="AJ59" s="7"/>
      <c r="AK59" s="7"/>
      <c r="AL59" s="7"/>
      <c r="AM59" s="7"/>
      <c r="AN59" s="7"/>
      <c r="AO59" s="7">
        <v>0</v>
      </c>
      <c r="AP59" s="7" t="s">
        <v>982</v>
      </c>
      <c r="AQ59" s="7"/>
      <c r="AR59" s="7"/>
      <c r="AS59" s="7"/>
      <c r="AT59" s="7"/>
      <c r="AU59" s="7"/>
      <c r="AV59" s="7" t="s">
        <v>993</v>
      </c>
      <c r="AW59" s="7" t="s">
        <v>993</v>
      </c>
      <c r="AX59" s="7"/>
      <c r="AY59" s="7" t="s">
        <v>993</v>
      </c>
      <c r="AZ59" s="7"/>
      <c r="BA59" s="7"/>
      <c r="BB59" s="7"/>
      <c r="BC59" s="7"/>
      <c r="BD59" s="7" t="s">
        <v>990</v>
      </c>
      <c r="BE59" s="7"/>
      <c r="BF59" s="7" t="s">
        <v>976</v>
      </c>
      <c r="BG59" s="8"/>
      <c r="BH59" s="7" t="s">
        <v>985</v>
      </c>
      <c r="BI59" s="7"/>
      <c r="BJ59" s="7" t="s">
        <v>972</v>
      </c>
      <c r="BK59" s="8"/>
      <c r="BL59" s="7">
        <v>0</v>
      </c>
      <c r="BM59" s="7" t="s">
        <v>976</v>
      </c>
      <c r="BN59" s="8"/>
      <c r="BO59" s="7" t="s">
        <v>976</v>
      </c>
      <c r="BP59" s="7"/>
      <c r="BQ59" s="7"/>
      <c r="BR59" s="7" t="s">
        <v>972</v>
      </c>
      <c r="BS59" s="8"/>
      <c r="BT59" s="7" t="s">
        <v>976</v>
      </c>
      <c r="BU59" s="7"/>
      <c r="BV59" s="7"/>
      <c r="BW59" s="7">
        <v>0</v>
      </c>
      <c r="BX59" s="7" t="s">
        <v>990</v>
      </c>
      <c r="BY59" s="7" t="s">
        <v>1066</v>
      </c>
      <c r="BZ59" s="7" t="s">
        <v>976</v>
      </c>
      <c r="CA59" s="7"/>
      <c r="CB59" s="7"/>
      <c r="CC59" s="7"/>
      <c r="CD59" s="7"/>
      <c r="CE59" s="7"/>
      <c r="CF59" s="7"/>
      <c r="CG59" s="7"/>
      <c r="CH59" s="7"/>
      <c r="CI59" s="7"/>
      <c r="CJ59" s="7" t="s">
        <v>976</v>
      </c>
      <c r="CK59" s="7"/>
    </row>
    <row r="60" spans="1:89" s="12" customFormat="1" ht="63.75" x14ac:dyDescent="0.2">
      <c r="A60" s="6" t="s">
        <v>953</v>
      </c>
      <c r="B60" s="7" t="s">
        <v>972</v>
      </c>
      <c r="C60" s="7" t="s">
        <v>990</v>
      </c>
      <c r="D60" s="7" t="s">
        <v>1117</v>
      </c>
      <c r="E60" s="7" t="s">
        <v>974</v>
      </c>
      <c r="F60" s="7"/>
      <c r="G60" s="7" t="s">
        <v>975</v>
      </c>
      <c r="H60" s="7" t="s">
        <v>972</v>
      </c>
      <c r="I60" s="7"/>
      <c r="J60" s="7" t="s">
        <v>976</v>
      </c>
      <c r="K60" s="7"/>
      <c r="L60" s="7"/>
      <c r="M60" s="7"/>
      <c r="N60" s="7" t="s">
        <v>977</v>
      </c>
      <c r="O60" s="7"/>
      <c r="P60" s="7" t="s">
        <v>972</v>
      </c>
      <c r="Q60" s="7">
        <v>0</v>
      </c>
      <c r="R60" s="7" t="s">
        <v>978</v>
      </c>
      <c r="S60" s="7"/>
      <c r="T60" s="7" t="s">
        <v>1010</v>
      </c>
      <c r="U60" s="7"/>
      <c r="V60" s="7" t="s">
        <v>1010</v>
      </c>
      <c r="W60" s="7"/>
      <c r="X60" s="7" t="s">
        <v>3513</v>
      </c>
      <c r="Y60" s="7"/>
      <c r="Z60" s="7" t="s">
        <v>976</v>
      </c>
      <c r="AA60" s="7"/>
      <c r="AB60" s="7"/>
      <c r="AC60" s="7"/>
      <c r="AD60" s="7"/>
      <c r="AE60" s="7" t="s">
        <v>970</v>
      </c>
      <c r="AF60" s="7" t="s">
        <v>976</v>
      </c>
      <c r="AG60" s="7"/>
      <c r="AH60" s="7"/>
      <c r="AI60" s="7" t="s">
        <v>976</v>
      </c>
      <c r="AJ60" s="7"/>
      <c r="AK60" s="7"/>
      <c r="AL60" s="7"/>
      <c r="AM60" s="7"/>
      <c r="AN60" s="7"/>
      <c r="AO60" s="7">
        <v>1</v>
      </c>
      <c r="AP60" s="7" t="s">
        <v>982</v>
      </c>
      <c r="AQ60" s="7"/>
      <c r="AR60" s="7"/>
      <c r="AS60" s="7"/>
      <c r="AT60" s="7"/>
      <c r="AU60" s="7"/>
      <c r="AV60" s="7" t="s">
        <v>982</v>
      </c>
      <c r="AW60" s="7" t="s">
        <v>982</v>
      </c>
      <c r="AX60" s="7"/>
      <c r="AY60" s="7" t="s">
        <v>982</v>
      </c>
      <c r="AZ60" s="7"/>
      <c r="BA60" s="7"/>
      <c r="BB60" s="7"/>
      <c r="BC60" s="7"/>
      <c r="BD60" s="7" t="s">
        <v>990</v>
      </c>
      <c r="BE60" s="7" t="s">
        <v>1118</v>
      </c>
      <c r="BF60" s="7" t="s">
        <v>976</v>
      </c>
      <c r="BG60" s="8"/>
      <c r="BH60" s="7" t="s">
        <v>985</v>
      </c>
      <c r="BI60" s="7"/>
      <c r="BJ60" s="7" t="s">
        <v>972</v>
      </c>
      <c r="BK60" s="8"/>
      <c r="BL60" s="7">
        <v>0</v>
      </c>
      <c r="BM60" s="7" t="s">
        <v>972</v>
      </c>
      <c r="BN60" s="8">
        <v>100</v>
      </c>
      <c r="BO60" s="7" t="s">
        <v>976</v>
      </c>
      <c r="BP60" s="7"/>
      <c r="BQ60" s="7"/>
      <c r="BR60" s="7" t="s">
        <v>972</v>
      </c>
      <c r="BS60" s="8"/>
      <c r="BT60" s="7" t="s">
        <v>976</v>
      </c>
      <c r="BU60" s="7"/>
      <c r="BV60" s="7"/>
      <c r="BW60" s="7">
        <v>0</v>
      </c>
      <c r="BX60" s="7" t="s">
        <v>1022</v>
      </c>
      <c r="BY60" s="7"/>
      <c r="BZ60" s="7" t="s">
        <v>976</v>
      </c>
      <c r="CA60" s="7"/>
      <c r="CB60" s="7"/>
      <c r="CC60" s="7"/>
      <c r="CD60" s="7"/>
      <c r="CE60" s="7"/>
      <c r="CF60" s="7"/>
      <c r="CG60" s="7"/>
      <c r="CH60" s="7"/>
      <c r="CI60" s="7"/>
      <c r="CJ60" s="7" t="s">
        <v>976</v>
      </c>
      <c r="CK60" s="7"/>
    </row>
    <row r="61" spans="1:89" s="17" customFormat="1" x14ac:dyDescent="0.2">
      <c r="A61" s="20" t="s">
        <v>3541</v>
      </c>
      <c r="B61" s="21">
        <f>COUNTA(B3:B60)</f>
        <v>58</v>
      </c>
      <c r="C61" s="21">
        <f t="shared" ref="C61:BN61" si="0">COUNTA(C3:C60)</f>
        <v>56</v>
      </c>
      <c r="D61" s="21">
        <f t="shared" si="0"/>
        <v>5</v>
      </c>
      <c r="E61" s="21">
        <f t="shared" si="0"/>
        <v>57</v>
      </c>
      <c r="F61" s="21">
        <f t="shared" si="0"/>
        <v>2</v>
      </c>
      <c r="G61" s="21">
        <f t="shared" si="0"/>
        <v>57</v>
      </c>
      <c r="H61" s="21">
        <f t="shared" si="0"/>
        <v>54</v>
      </c>
      <c r="I61" s="21">
        <f t="shared" si="0"/>
        <v>1</v>
      </c>
      <c r="J61" s="21">
        <f t="shared" si="0"/>
        <v>57</v>
      </c>
      <c r="K61" s="21">
        <f t="shared" si="0"/>
        <v>6</v>
      </c>
      <c r="L61" s="21">
        <f t="shared" si="0"/>
        <v>6</v>
      </c>
      <c r="M61" s="21">
        <f t="shared" si="0"/>
        <v>0</v>
      </c>
      <c r="N61" s="21">
        <f t="shared" si="0"/>
        <v>58</v>
      </c>
      <c r="O61" s="21">
        <f t="shared" si="0"/>
        <v>0</v>
      </c>
      <c r="P61" s="21">
        <f t="shared" si="0"/>
        <v>58</v>
      </c>
      <c r="Q61" s="21">
        <f t="shared" si="0"/>
        <v>41</v>
      </c>
      <c r="R61" s="21">
        <f t="shared" si="0"/>
        <v>53</v>
      </c>
      <c r="S61" s="21">
        <f t="shared" si="0"/>
        <v>2</v>
      </c>
      <c r="T61" s="21">
        <f t="shared" si="0"/>
        <v>53</v>
      </c>
      <c r="U61" s="21">
        <f t="shared" si="0"/>
        <v>3</v>
      </c>
      <c r="V61" s="21">
        <f t="shared" si="0"/>
        <v>52</v>
      </c>
      <c r="W61" s="21">
        <f t="shared" si="0"/>
        <v>4</v>
      </c>
      <c r="X61" s="21">
        <f t="shared" si="0"/>
        <v>57</v>
      </c>
      <c r="Y61" s="21">
        <f t="shared" si="0"/>
        <v>7</v>
      </c>
      <c r="Z61" s="21">
        <f t="shared" si="0"/>
        <v>57</v>
      </c>
      <c r="AA61" s="21">
        <f t="shared" si="0"/>
        <v>9</v>
      </c>
      <c r="AB61" s="21">
        <f t="shared" si="0"/>
        <v>2</v>
      </c>
      <c r="AC61" s="21">
        <f t="shared" si="0"/>
        <v>19</v>
      </c>
      <c r="AD61" s="21">
        <f t="shared" si="0"/>
        <v>15</v>
      </c>
      <c r="AE61" s="21">
        <f t="shared" si="0"/>
        <v>37</v>
      </c>
      <c r="AF61" s="21">
        <f t="shared" si="0"/>
        <v>58</v>
      </c>
      <c r="AG61" s="21">
        <f t="shared" si="0"/>
        <v>3</v>
      </c>
      <c r="AH61" s="21">
        <f t="shared" si="0"/>
        <v>3</v>
      </c>
      <c r="AI61" s="21">
        <f t="shared" si="0"/>
        <v>58</v>
      </c>
      <c r="AJ61" s="21">
        <f t="shared" si="0"/>
        <v>6</v>
      </c>
      <c r="AK61" s="21">
        <f t="shared" si="0"/>
        <v>6</v>
      </c>
      <c r="AL61" s="21">
        <f t="shared" si="0"/>
        <v>5</v>
      </c>
      <c r="AM61" s="21">
        <f t="shared" si="0"/>
        <v>4</v>
      </c>
      <c r="AN61" s="21">
        <f t="shared" si="0"/>
        <v>7</v>
      </c>
      <c r="AO61" s="21">
        <f t="shared" si="0"/>
        <v>55</v>
      </c>
      <c r="AP61" s="21">
        <f t="shared" si="0"/>
        <v>56</v>
      </c>
      <c r="AQ61" s="21">
        <f t="shared" si="0"/>
        <v>2</v>
      </c>
      <c r="AR61" s="21">
        <f t="shared" si="0"/>
        <v>0</v>
      </c>
      <c r="AS61" s="21">
        <f t="shared" si="0"/>
        <v>1</v>
      </c>
      <c r="AT61" s="21">
        <f t="shared" si="0"/>
        <v>0</v>
      </c>
      <c r="AU61" s="21">
        <f t="shared" si="0"/>
        <v>1</v>
      </c>
      <c r="AV61" s="21">
        <f t="shared" si="0"/>
        <v>51</v>
      </c>
      <c r="AW61" s="21">
        <f t="shared" si="0"/>
        <v>48</v>
      </c>
      <c r="AX61" s="21">
        <f t="shared" si="0"/>
        <v>7</v>
      </c>
      <c r="AY61" s="21">
        <f t="shared" si="0"/>
        <v>50</v>
      </c>
      <c r="AZ61" s="21">
        <f t="shared" si="0"/>
        <v>0</v>
      </c>
      <c r="BA61" s="21">
        <f t="shared" si="0"/>
        <v>0</v>
      </c>
      <c r="BB61" s="21">
        <f t="shared" si="0"/>
        <v>0</v>
      </c>
      <c r="BC61" s="21">
        <f t="shared" si="0"/>
        <v>0</v>
      </c>
      <c r="BD61" s="21">
        <f t="shared" si="0"/>
        <v>58</v>
      </c>
      <c r="BE61" s="21">
        <f t="shared" si="0"/>
        <v>16</v>
      </c>
      <c r="BF61" s="21">
        <f t="shared" si="0"/>
        <v>57</v>
      </c>
      <c r="BG61" s="21">
        <f t="shared" si="0"/>
        <v>3</v>
      </c>
      <c r="BH61" s="21">
        <f t="shared" si="0"/>
        <v>56</v>
      </c>
      <c r="BI61" s="21">
        <f t="shared" si="0"/>
        <v>10</v>
      </c>
      <c r="BJ61" s="21">
        <f t="shared" si="0"/>
        <v>58</v>
      </c>
      <c r="BK61" s="21">
        <f t="shared" si="0"/>
        <v>13</v>
      </c>
      <c r="BL61" s="21">
        <f t="shared" si="0"/>
        <v>36</v>
      </c>
      <c r="BM61" s="21">
        <f t="shared" si="0"/>
        <v>57</v>
      </c>
      <c r="BN61" s="21">
        <f t="shared" si="0"/>
        <v>26</v>
      </c>
      <c r="BO61" s="21">
        <f t="shared" ref="BO61:CK61" si="1">COUNTA(BO3:BO60)</f>
        <v>56</v>
      </c>
      <c r="BP61" s="21">
        <f t="shared" si="1"/>
        <v>7</v>
      </c>
      <c r="BQ61" s="21">
        <f t="shared" si="1"/>
        <v>6</v>
      </c>
      <c r="BR61" s="21">
        <f t="shared" si="1"/>
        <v>57</v>
      </c>
      <c r="BS61" s="21">
        <f t="shared" si="1"/>
        <v>12</v>
      </c>
      <c r="BT61" s="21">
        <f t="shared" si="1"/>
        <v>53</v>
      </c>
      <c r="BU61" s="21">
        <f t="shared" si="1"/>
        <v>9</v>
      </c>
      <c r="BV61" s="21">
        <f t="shared" si="1"/>
        <v>8</v>
      </c>
      <c r="BW61" s="21">
        <f t="shared" si="1"/>
        <v>33</v>
      </c>
      <c r="BX61" s="21">
        <f t="shared" si="1"/>
        <v>58</v>
      </c>
      <c r="BY61" s="21">
        <f t="shared" si="1"/>
        <v>4</v>
      </c>
      <c r="BZ61" s="21">
        <f t="shared" si="1"/>
        <v>58</v>
      </c>
      <c r="CA61" s="21">
        <f t="shared" si="1"/>
        <v>11</v>
      </c>
      <c r="CB61" s="21">
        <f t="shared" si="1"/>
        <v>4</v>
      </c>
      <c r="CC61" s="21">
        <f t="shared" si="1"/>
        <v>12</v>
      </c>
      <c r="CD61" s="21">
        <f t="shared" si="1"/>
        <v>1</v>
      </c>
      <c r="CE61" s="21">
        <f t="shared" si="1"/>
        <v>1</v>
      </c>
      <c r="CF61" s="21">
        <f t="shared" si="1"/>
        <v>0</v>
      </c>
      <c r="CG61" s="21">
        <f t="shared" si="1"/>
        <v>0</v>
      </c>
      <c r="CH61" s="21">
        <f t="shared" si="1"/>
        <v>0</v>
      </c>
      <c r="CI61" s="21">
        <f t="shared" si="1"/>
        <v>9</v>
      </c>
      <c r="CJ61" s="21">
        <f t="shared" si="1"/>
        <v>58</v>
      </c>
      <c r="CK61" s="21">
        <f t="shared" si="1"/>
        <v>2</v>
      </c>
    </row>
    <row r="62" spans="1:89" s="18" customFormat="1" x14ac:dyDescent="0.2">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row>
    <row r="63" spans="1:89" s="18" customFormat="1" x14ac:dyDescent="0.2">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row>
    <row r="64" spans="1:89" s="18" customFormat="1" x14ac:dyDescent="0.2">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row>
    <row r="65" spans="2:89" s="18" customFormat="1" x14ac:dyDescent="0.2">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row>
    <row r="66" spans="2:89" s="12" customFormat="1" x14ac:dyDescent="0.2">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1"/>
      <c r="BH66" s="10"/>
      <c r="BI66" s="10"/>
      <c r="BJ66" s="10"/>
      <c r="BK66" s="11"/>
      <c r="BL66" s="10"/>
      <c r="BM66" s="10"/>
      <c r="BN66" s="11"/>
      <c r="BO66" s="10"/>
      <c r="BP66" s="10"/>
      <c r="BQ66" s="10"/>
      <c r="BR66" s="10"/>
      <c r="BS66" s="11"/>
      <c r="BT66" s="10"/>
      <c r="BU66" s="10"/>
      <c r="BV66" s="10"/>
      <c r="BW66" s="10"/>
      <c r="BX66" s="10"/>
      <c r="BY66" s="10"/>
      <c r="BZ66" s="10"/>
      <c r="CA66" s="10"/>
      <c r="CB66" s="10"/>
      <c r="CC66" s="10"/>
      <c r="CD66" s="10"/>
      <c r="CE66" s="10"/>
      <c r="CF66" s="10"/>
      <c r="CG66" s="10"/>
      <c r="CH66" s="10"/>
      <c r="CI66" s="10"/>
      <c r="CJ66" s="10"/>
      <c r="CK66" s="10"/>
    </row>
    <row r="67" spans="2:89" s="12" customFormat="1" x14ac:dyDescent="0.2">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1"/>
      <c r="BH67" s="10"/>
      <c r="BI67" s="10"/>
      <c r="BJ67" s="10"/>
      <c r="BK67" s="11"/>
      <c r="BL67" s="10"/>
      <c r="BM67" s="10"/>
      <c r="BN67" s="11"/>
      <c r="BO67" s="10"/>
      <c r="BP67" s="10"/>
      <c r="BQ67" s="10"/>
      <c r="BR67" s="10"/>
      <c r="BS67" s="11"/>
      <c r="BT67" s="10"/>
      <c r="BU67" s="10"/>
      <c r="BV67" s="10"/>
      <c r="BW67" s="10"/>
      <c r="BX67" s="10"/>
      <c r="BY67" s="10"/>
      <c r="BZ67" s="10"/>
      <c r="CA67" s="10"/>
      <c r="CB67" s="10"/>
      <c r="CC67" s="10"/>
      <c r="CD67" s="10"/>
      <c r="CE67" s="10"/>
      <c r="CF67" s="10"/>
      <c r="CG67" s="10"/>
      <c r="CH67" s="10"/>
      <c r="CI67" s="10"/>
      <c r="CJ67" s="10"/>
      <c r="CK67" s="10"/>
    </row>
    <row r="68" spans="2:89" s="12" customFormat="1" x14ac:dyDescent="0.2">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1"/>
      <c r="BH68" s="10"/>
      <c r="BI68" s="10"/>
      <c r="BJ68" s="10"/>
      <c r="BK68" s="11"/>
      <c r="BL68" s="10"/>
      <c r="BM68" s="10"/>
      <c r="BN68" s="11"/>
      <c r="BO68" s="10"/>
      <c r="BP68" s="10"/>
      <c r="BQ68" s="10"/>
      <c r="BR68" s="10"/>
      <c r="BS68" s="11"/>
      <c r="BT68" s="10"/>
      <c r="BU68" s="10"/>
      <c r="BV68" s="10"/>
      <c r="BW68" s="10"/>
      <c r="BX68" s="10"/>
      <c r="BY68" s="10"/>
      <c r="BZ68" s="10"/>
      <c r="CA68" s="10"/>
      <c r="CB68" s="10"/>
      <c r="CC68" s="10"/>
      <c r="CD68" s="10"/>
      <c r="CE68" s="10"/>
      <c r="CF68" s="10"/>
      <c r="CG68" s="10"/>
      <c r="CH68" s="10"/>
      <c r="CI68" s="10"/>
      <c r="CJ68" s="10"/>
      <c r="CK68" s="10"/>
    </row>
  </sheetData>
  <autoFilter ref="A2:CK61" xr:uid="{00000000-0009-0000-0000-000002000000}"/>
  <sortState xmlns:xlrd2="http://schemas.microsoft.com/office/spreadsheetml/2017/richdata2" ref="A3:CK60">
    <sortCondition ref="A3:A60"/>
  </sortState>
  <conditionalFormatting sqref="A3:A59">
    <cfRule type="duplicateValues" dxfId="32" priority="2"/>
    <cfRule type="duplicateValues" dxfId="31" priority="3"/>
  </conditionalFormatting>
  <conditionalFormatting sqref="A60">
    <cfRule type="duplicateValues" dxfId="30" priority="1"/>
  </conditionalFormatting>
  <hyperlinks>
    <hyperlink ref="A1" location="Index!A1" display="Back to Index" xr:uid="{00000000-0004-0000-0200-000000000000}"/>
  </hyperlinks>
  <pageMargins left="0.7" right="0.7" top="0.75" bottom="0.75" header="0.3" footer="0.3"/>
  <pageSetup paperSize="168"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Z67"/>
  <sheetViews>
    <sheetView zoomScaleNormal="100" workbookViewId="0">
      <pane xSplit="1" ySplit="2" topLeftCell="B3" activePane="bottomRight" state="frozen"/>
      <selection sqref="A1:B1"/>
      <selection pane="topRight" sqref="A1:B1"/>
      <selection pane="bottomLeft" sqref="A1:B1"/>
      <selection pane="bottomRight" activeCell="B3" sqref="B3"/>
    </sheetView>
  </sheetViews>
  <sheetFormatPr defaultRowHeight="12.75" x14ac:dyDescent="0.2"/>
  <cols>
    <col min="1" max="1" width="13.5703125" style="6" bestFit="1" customWidth="1"/>
    <col min="2" max="21" width="30.7109375" style="7" customWidth="1"/>
    <col min="22" max="22" width="60.7109375" style="7" customWidth="1"/>
    <col min="23" max="40" width="30.7109375" style="7" customWidth="1"/>
    <col min="41" max="41" width="30.7109375" style="24" customWidth="1"/>
    <col min="42" max="42" width="30.7109375" style="7" customWidth="1"/>
    <col min="43" max="43" width="60.7109375" style="7" customWidth="1"/>
    <col min="44" max="78" width="30.7109375" style="7" customWidth="1"/>
    <col min="79" max="16384" width="9.140625" style="6"/>
  </cols>
  <sheetData>
    <row r="1" spans="1:78" s="3" customFormat="1" x14ac:dyDescent="0.2">
      <c r="A1" s="19" t="s">
        <v>969</v>
      </c>
      <c r="B1" s="1" t="s">
        <v>88</v>
      </c>
      <c r="C1" s="1" t="s">
        <v>89</v>
      </c>
      <c r="D1" s="1" t="s">
        <v>90</v>
      </c>
      <c r="E1" s="1" t="s">
        <v>91</v>
      </c>
      <c r="F1" s="1" t="s">
        <v>92</v>
      </c>
      <c r="G1" s="1" t="s">
        <v>93</v>
      </c>
      <c r="H1" s="1" t="s">
        <v>94</v>
      </c>
      <c r="I1" s="1" t="s">
        <v>95</v>
      </c>
      <c r="J1" s="1" t="s">
        <v>96</v>
      </c>
      <c r="K1" s="1" t="s">
        <v>97</v>
      </c>
      <c r="L1" s="1" t="s">
        <v>98</v>
      </c>
      <c r="M1" s="1" t="s">
        <v>99</v>
      </c>
      <c r="N1" s="1" t="s">
        <v>100</v>
      </c>
      <c r="O1" s="1" t="s">
        <v>101</v>
      </c>
      <c r="P1" s="1" t="s">
        <v>102</v>
      </c>
      <c r="Q1" s="1" t="s">
        <v>103</v>
      </c>
      <c r="R1" s="1" t="s">
        <v>104</v>
      </c>
      <c r="S1" s="1" t="s">
        <v>105</v>
      </c>
      <c r="T1" s="1" t="s">
        <v>106</v>
      </c>
      <c r="U1" s="1" t="s">
        <v>107</v>
      </c>
      <c r="V1" s="1" t="s">
        <v>108</v>
      </c>
      <c r="W1" s="1" t="s">
        <v>109</v>
      </c>
      <c r="X1" s="1" t="s">
        <v>110</v>
      </c>
      <c r="Y1" s="1" t="s">
        <v>111</v>
      </c>
      <c r="Z1" s="1" t="s">
        <v>112</v>
      </c>
      <c r="AA1" s="1" t="s">
        <v>113</v>
      </c>
      <c r="AB1" s="1" t="s">
        <v>114</v>
      </c>
      <c r="AC1" s="1" t="s">
        <v>115</v>
      </c>
      <c r="AD1" s="1" t="s">
        <v>116</v>
      </c>
      <c r="AE1" s="1" t="s">
        <v>117</v>
      </c>
      <c r="AF1" s="1" t="s">
        <v>118</v>
      </c>
      <c r="AG1" s="1" t="s">
        <v>119</v>
      </c>
      <c r="AH1" s="1" t="s">
        <v>120</v>
      </c>
      <c r="AI1" s="1" t="s">
        <v>121</v>
      </c>
      <c r="AJ1" s="1" t="s">
        <v>122</v>
      </c>
      <c r="AK1" s="1" t="s">
        <v>123</v>
      </c>
      <c r="AL1" s="1" t="s">
        <v>124</v>
      </c>
      <c r="AM1" s="1" t="s">
        <v>125</v>
      </c>
      <c r="AN1" s="1" t="s">
        <v>126</v>
      </c>
      <c r="AO1" s="22" t="s">
        <v>127</v>
      </c>
      <c r="AP1" s="1" t="s">
        <v>128</v>
      </c>
      <c r="AQ1" s="1" t="s">
        <v>129</v>
      </c>
      <c r="AR1" s="1" t="s">
        <v>130</v>
      </c>
      <c r="AS1" s="1" t="s">
        <v>131</v>
      </c>
      <c r="AT1" s="1" t="s">
        <v>132</v>
      </c>
      <c r="AU1" s="1" t="s">
        <v>133</v>
      </c>
      <c r="AV1" s="1" t="s">
        <v>134</v>
      </c>
      <c r="AW1" s="1" t="s">
        <v>135</v>
      </c>
      <c r="AX1" s="1" t="s">
        <v>136</v>
      </c>
      <c r="AY1" s="1" t="s">
        <v>137</v>
      </c>
      <c r="AZ1" s="1" t="s">
        <v>138</v>
      </c>
      <c r="BA1" s="1" t="s">
        <v>139</v>
      </c>
      <c r="BB1" s="1" t="s">
        <v>140</v>
      </c>
      <c r="BC1" s="1" t="s">
        <v>141</v>
      </c>
      <c r="BD1" s="1" t="s">
        <v>142</v>
      </c>
      <c r="BE1" s="1" t="s">
        <v>143</v>
      </c>
      <c r="BF1" s="1" t="s">
        <v>144</v>
      </c>
      <c r="BG1" s="1" t="s">
        <v>145</v>
      </c>
      <c r="BH1" s="1" t="s">
        <v>146</v>
      </c>
      <c r="BI1" s="1" t="s">
        <v>147</v>
      </c>
      <c r="BJ1" s="1" t="s">
        <v>148</v>
      </c>
      <c r="BK1" s="1" t="s">
        <v>149</v>
      </c>
      <c r="BL1" s="1" t="s">
        <v>150</v>
      </c>
      <c r="BM1" s="1" t="s">
        <v>151</v>
      </c>
      <c r="BN1" s="1" t="s">
        <v>152</v>
      </c>
      <c r="BO1" s="1" t="s">
        <v>153</v>
      </c>
      <c r="BP1" s="1" t="s">
        <v>154</v>
      </c>
      <c r="BQ1" s="1" t="s">
        <v>155</v>
      </c>
      <c r="BR1" s="1" t="s">
        <v>156</v>
      </c>
      <c r="BS1" s="1" t="s">
        <v>157</v>
      </c>
      <c r="BT1" s="1" t="s">
        <v>158</v>
      </c>
      <c r="BU1" s="1" t="s">
        <v>159</v>
      </c>
      <c r="BV1" s="1" t="s">
        <v>160</v>
      </c>
      <c r="BW1" s="1" t="s">
        <v>161</v>
      </c>
      <c r="BX1" s="1" t="s">
        <v>162</v>
      </c>
      <c r="BY1" s="1" t="s">
        <v>163</v>
      </c>
      <c r="BZ1" s="1" t="s">
        <v>164</v>
      </c>
    </row>
    <row r="2" spans="1:78" s="3" customFormat="1" ht="51" x14ac:dyDescent="0.2">
      <c r="A2" s="3" t="s">
        <v>968</v>
      </c>
      <c r="B2" s="4" t="s">
        <v>2746</v>
      </c>
      <c r="C2" s="1" t="s">
        <v>2747</v>
      </c>
      <c r="D2" s="4" t="s">
        <v>2748</v>
      </c>
      <c r="E2" s="4" t="s">
        <v>2749</v>
      </c>
      <c r="F2" s="1" t="s">
        <v>3415</v>
      </c>
      <c r="G2" s="1" t="s">
        <v>3416</v>
      </c>
      <c r="H2" s="1" t="s">
        <v>3417</v>
      </c>
      <c r="I2" s="4" t="s">
        <v>2750</v>
      </c>
      <c r="J2" s="4" t="s">
        <v>2751</v>
      </c>
      <c r="K2" s="1" t="s">
        <v>2752</v>
      </c>
      <c r="L2" s="1" t="s">
        <v>2753</v>
      </c>
      <c r="M2" s="4" t="s">
        <v>2754</v>
      </c>
      <c r="N2" s="1" t="s">
        <v>2755</v>
      </c>
      <c r="O2" s="1" t="s">
        <v>2756</v>
      </c>
      <c r="P2" s="4" t="s">
        <v>2757</v>
      </c>
      <c r="Q2" s="4" t="s">
        <v>2758</v>
      </c>
      <c r="R2" s="1" t="s">
        <v>2759</v>
      </c>
      <c r="S2" s="1" t="s">
        <v>2760</v>
      </c>
      <c r="T2" s="4" t="s">
        <v>2761</v>
      </c>
      <c r="U2" s="4" t="s">
        <v>2762</v>
      </c>
      <c r="V2" s="1" t="s">
        <v>2763</v>
      </c>
      <c r="W2" s="1" t="s">
        <v>2764</v>
      </c>
      <c r="X2" s="4" t="s">
        <v>2765</v>
      </c>
      <c r="Y2" s="1" t="s">
        <v>2766</v>
      </c>
      <c r="Z2" s="1" t="s">
        <v>2767</v>
      </c>
      <c r="AA2" s="1" t="s">
        <v>2768</v>
      </c>
      <c r="AB2" s="1" t="s">
        <v>2709</v>
      </c>
      <c r="AC2" s="1" t="s">
        <v>2769</v>
      </c>
      <c r="AD2" s="1" t="s">
        <v>2770</v>
      </c>
      <c r="AE2" s="4" t="s">
        <v>2771</v>
      </c>
      <c r="AF2" s="4" t="s">
        <v>2772</v>
      </c>
      <c r="AG2" s="4" t="s">
        <v>2773</v>
      </c>
      <c r="AH2" s="4" t="s">
        <v>2774</v>
      </c>
      <c r="AI2" s="4" t="s">
        <v>2775</v>
      </c>
      <c r="AJ2" s="4" t="s">
        <v>2776</v>
      </c>
      <c r="AK2" s="4" t="s">
        <v>3419</v>
      </c>
      <c r="AL2" s="4" t="s">
        <v>3412</v>
      </c>
      <c r="AM2" s="1" t="s">
        <v>2777</v>
      </c>
      <c r="AN2" s="1" t="s">
        <v>2778</v>
      </c>
      <c r="AO2" s="23" t="s">
        <v>2779</v>
      </c>
      <c r="AP2" s="1" t="s">
        <v>2780</v>
      </c>
      <c r="AQ2" s="1" t="s">
        <v>2781</v>
      </c>
      <c r="AR2" s="4" t="s">
        <v>2782</v>
      </c>
      <c r="AS2" s="4" t="s">
        <v>3418</v>
      </c>
      <c r="AT2" s="1" t="s">
        <v>2783</v>
      </c>
      <c r="AU2" s="1" t="s">
        <v>2784</v>
      </c>
      <c r="AV2" s="4" t="s">
        <v>2785</v>
      </c>
      <c r="AW2" s="1" t="s">
        <v>2786</v>
      </c>
      <c r="AX2" s="1" t="s">
        <v>2787</v>
      </c>
      <c r="AY2" s="4" t="s">
        <v>2788</v>
      </c>
      <c r="AZ2" s="1" t="s">
        <v>2789</v>
      </c>
      <c r="BA2" s="1" t="s">
        <v>2790</v>
      </c>
      <c r="BB2" s="4" t="s">
        <v>2791</v>
      </c>
      <c r="BC2" s="4" t="s">
        <v>2760</v>
      </c>
      <c r="BD2" s="1" t="s">
        <v>2792</v>
      </c>
      <c r="BE2" s="1" t="s">
        <v>2793</v>
      </c>
      <c r="BF2" s="4" t="s">
        <v>2794</v>
      </c>
      <c r="BG2" s="4" t="s">
        <v>2795</v>
      </c>
      <c r="BH2" s="1" t="s">
        <v>2796</v>
      </c>
      <c r="BI2" s="4" t="s">
        <v>2797</v>
      </c>
      <c r="BJ2" s="4" t="s">
        <v>2767</v>
      </c>
      <c r="BK2" s="4" t="s">
        <v>2768</v>
      </c>
      <c r="BL2" s="4" t="s">
        <v>2709</v>
      </c>
      <c r="BM2" s="4" t="s">
        <v>2769</v>
      </c>
      <c r="BN2" s="4" t="s">
        <v>2770</v>
      </c>
      <c r="BO2" s="1" t="s">
        <v>2798</v>
      </c>
      <c r="BP2" s="1" t="s">
        <v>2799</v>
      </c>
      <c r="BQ2" s="1" t="s">
        <v>2800</v>
      </c>
      <c r="BR2" s="1" t="s">
        <v>2801</v>
      </c>
      <c r="BS2" s="1" t="s">
        <v>2802</v>
      </c>
      <c r="BT2" s="1" t="s">
        <v>2803</v>
      </c>
      <c r="BU2" s="1" t="s">
        <v>3420</v>
      </c>
      <c r="BV2" s="1" t="s">
        <v>3412</v>
      </c>
      <c r="BW2" s="4" t="s">
        <v>2804</v>
      </c>
      <c r="BX2" s="4" t="s">
        <v>3421</v>
      </c>
      <c r="BY2" s="1" t="s">
        <v>2805</v>
      </c>
      <c r="BZ2" s="1" t="s">
        <v>2806</v>
      </c>
    </row>
    <row r="3" spans="1:78" s="14" customFormat="1" x14ac:dyDescent="0.2">
      <c r="A3" s="6" t="s">
        <v>922</v>
      </c>
      <c r="B3" s="7" t="s">
        <v>972</v>
      </c>
      <c r="C3" s="7" t="s">
        <v>1156</v>
      </c>
      <c r="D3" s="7" t="s">
        <v>1003</v>
      </c>
      <c r="E3" s="7"/>
      <c r="F3" s="7" t="s">
        <v>1183</v>
      </c>
      <c r="G3" s="7"/>
      <c r="H3" s="7" t="s">
        <v>1184</v>
      </c>
      <c r="I3" s="7" t="s">
        <v>976</v>
      </c>
      <c r="J3" s="7"/>
      <c r="K3" s="7"/>
      <c r="L3" s="7"/>
      <c r="M3" s="7" t="s">
        <v>975</v>
      </c>
      <c r="N3" s="7" t="s">
        <v>972</v>
      </c>
      <c r="O3" s="7"/>
      <c r="P3" s="7" t="s">
        <v>977</v>
      </c>
      <c r="Q3" s="7"/>
      <c r="R3" s="7" t="s">
        <v>972</v>
      </c>
      <c r="S3" s="7">
        <v>0</v>
      </c>
      <c r="T3" s="7"/>
      <c r="U3" s="7"/>
      <c r="V3" s="7"/>
      <c r="W3" s="7"/>
      <c r="X3" s="7">
        <v>0</v>
      </c>
      <c r="Y3" s="7"/>
      <c r="Z3" s="7"/>
      <c r="AA3" s="7"/>
      <c r="AB3" s="7"/>
      <c r="AC3" s="7"/>
      <c r="AD3" s="7"/>
      <c r="AE3" s="7"/>
      <c r="AF3" s="7"/>
      <c r="AG3" s="7"/>
      <c r="AH3" s="7"/>
      <c r="AI3" s="7"/>
      <c r="AJ3" s="7"/>
      <c r="AK3" s="7"/>
      <c r="AL3" s="7"/>
      <c r="AM3" s="7"/>
      <c r="AN3" s="7"/>
      <c r="AO3" s="24">
        <v>400</v>
      </c>
      <c r="AP3" s="7"/>
      <c r="AQ3" s="7"/>
      <c r="AR3" s="7"/>
      <c r="AS3" s="7"/>
      <c r="AT3" s="7"/>
      <c r="AU3" s="7"/>
      <c r="AV3" s="7" t="s">
        <v>976</v>
      </c>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row>
    <row r="4" spans="1:78" x14ac:dyDescent="0.2">
      <c r="A4" s="6" t="s">
        <v>930</v>
      </c>
      <c r="B4" s="7" t="s">
        <v>1023</v>
      </c>
      <c r="AV4" s="7" t="s">
        <v>972</v>
      </c>
      <c r="AW4" s="7" t="s">
        <v>1158</v>
      </c>
      <c r="AY4" s="7" t="s">
        <v>1027</v>
      </c>
      <c r="AZ4" s="7" t="s">
        <v>977</v>
      </c>
      <c r="BB4" s="7" t="s">
        <v>972</v>
      </c>
      <c r="BC4" s="7">
        <v>0</v>
      </c>
      <c r="BF4" s="7" t="s">
        <v>1159</v>
      </c>
      <c r="BH4" s="7">
        <v>0</v>
      </c>
      <c r="BI4" s="7" t="s">
        <v>982</v>
      </c>
      <c r="BW4" s="7" t="s">
        <v>976</v>
      </c>
      <c r="BY4" s="7" t="s">
        <v>990</v>
      </c>
      <c r="BZ4" s="7" t="s">
        <v>1198</v>
      </c>
    </row>
    <row r="5" spans="1:78" ht="38.25" x14ac:dyDescent="0.2">
      <c r="A5" s="6" t="s">
        <v>927</v>
      </c>
      <c r="B5" s="7" t="s">
        <v>972</v>
      </c>
      <c r="C5" s="7" t="s">
        <v>1156</v>
      </c>
      <c r="D5" s="7" t="s">
        <v>1193</v>
      </c>
      <c r="I5" s="7" t="s">
        <v>972</v>
      </c>
      <c r="J5" s="7">
        <v>2</v>
      </c>
      <c r="K5" s="7" t="s">
        <v>972</v>
      </c>
      <c r="M5" s="7" t="s">
        <v>975</v>
      </c>
      <c r="N5" s="7" t="s">
        <v>972</v>
      </c>
      <c r="P5" s="7" t="s">
        <v>977</v>
      </c>
      <c r="R5" s="7" t="s">
        <v>972</v>
      </c>
      <c r="S5" s="7">
        <v>0</v>
      </c>
      <c r="T5" s="7" t="s">
        <v>978</v>
      </c>
      <c r="V5" s="7" t="s">
        <v>3548</v>
      </c>
      <c r="X5" s="7">
        <v>0</v>
      </c>
      <c r="Y5" s="7" t="s">
        <v>983</v>
      </c>
      <c r="AE5" s="7" t="s">
        <v>983</v>
      </c>
      <c r="AF5" s="7" t="s">
        <v>983</v>
      </c>
      <c r="AH5" s="7" t="s">
        <v>983</v>
      </c>
      <c r="AO5" s="24">
        <v>143.76</v>
      </c>
      <c r="AP5" s="7" t="s">
        <v>976</v>
      </c>
      <c r="AR5" s="7" t="s">
        <v>976</v>
      </c>
      <c r="AT5" s="7" t="s">
        <v>990</v>
      </c>
      <c r="AU5" s="7" t="s">
        <v>1066</v>
      </c>
      <c r="AV5" s="7" t="s">
        <v>972</v>
      </c>
      <c r="AW5" s="7" t="s">
        <v>1158</v>
      </c>
      <c r="AY5" s="7" t="s">
        <v>1027</v>
      </c>
      <c r="AZ5" s="7" t="s">
        <v>977</v>
      </c>
      <c r="BB5" s="7" t="s">
        <v>972</v>
      </c>
      <c r="BC5" s="7">
        <v>0</v>
      </c>
      <c r="BF5" s="7" t="s">
        <v>1159</v>
      </c>
      <c r="BH5" s="7">
        <v>0</v>
      </c>
      <c r="BI5" s="7" t="s">
        <v>982</v>
      </c>
      <c r="BW5" s="7" t="s">
        <v>976</v>
      </c>
      <c r="BY5" s="7" t="s">
        <v>990</v>
      </c>
      <c r="BZ5" s="7" t="s">
        <v>987</v>
      </c>
    </row>
    <row r="6" spans="1:78" x14ac:dyDescent="0.2">
      <c r="A6" s="6" t="s">
        <v>914</v>
      </c>
      <c r="B6" s="7" t="s">
        <v>976</v>
      </c>
      <c r="AV6" s="7" t="s">
        <v>976</v>
      </c>
    </row>
    <row r="7" spans="1:78" ht="51" x14ac:dyDescent="0.2">
      <c r="A7" s="6" t="s">
        <v>920</v>
      </c>
      <c r="B7" s="7" t="s">
        <v>972</v>
      </c>
      <c r="C7" s="7" t="s">
        <v>1156</v>
      </c>
      <c r="D7" s="7" t="s">
        <v>1157</v>
      </c>
      <c r="I7" s="7" t="s">
        <v>976</v>
      </c>
      <c r="M7" s="7" t="s">
        <v>975</v>
      </c>
      <c r="N7" s="7" t="s">
        <v>972</v>
      </c>
      <c r="P7" s="7" t="s">
        <v>977</v>
      </c>
      <c r="R7" s="7" t="s">
        <v>972</v>
      </c>
      <c r="S7" s="7">
        <v>20</v>
      </c>
      <c r="T7" s="7" t="s">
        <v>978</v>
      </c>
      <c r="V7" s="7" t="s">
        <v>3550</v>
      </c>
      <c r="X7" s="7">
        <v>0</v>
      </c>
      <c r="Y7" s="7" t="s">
        <v>982</v>
      </c>
      <c r="AE7" s="7" t="s">
        <v>982</v>
      </c>
      <c r="AF7" s="7" t="s">
        <v>982</v>
      </c>
      <c r="AH7" s="7" t="s">
        <v>982</v>
      </c>
      <c r="AP7" s="7" t="s">
        <v>976</v>
      </c>
      <c r="AR7" s="7" t="s">
        <v>976</v>
      </c>
      <c r="AT7" s="7" t="s">
        <v>1163</v>
      </c>
      <c r="AV7" s="7" t="s">
        <v>972</v>
      </c>
      <c r="AW7" s="7" t="s">
        <v>1164</v>
      </c>
      <c r="AY7" s="7" t="s">
        <v>975</v>
      </c>
      <c r="AZ7" s="7" t="s">
        <v>977</v>
      </c>
      <c r="BB7" s="7" t="s">
        <v>972</v>
      </c>
      <c r="BC7" s="7">
        <v>20</v>
      </c>
      <c r="BD7" s="7" t="s">
        <v>978</v>
      </c>
      <c r="BF7" s="7" t="s">
        <v>1180</v>
      </c>
      <c r="BH7" s="7">
        <v>0</v>
      </c>
      <c r="BI7" s="7" t="s">
        <v>982</v>
      </c>
      <c r="BO7" s="7" t="s">
        <v>982</v>
      </c>
      <c r="BP7" s="7" t="s">
        <v>982</v>
      </c>
      <c r="BR7" s="7" t="s">
        <v>982</v>
      </c>
      <c r="BW7" s="7" t="s">
        <v>976</v>
      </c>
      <c r="BY7" s="7" t="s">
        <v>990</v>
      </c>
      <c r="BZ7" s="7" t="s">
        <v>1181</v>
      </c>
    </row>
    <row r="8" spans="1:78" ht="63.75" x14ac:dyDescent="0.2">
      <c r="A8" s="6" t="s">
        <v>959</v>
      </c>
      <c r="B8" s="7" t="s">
        <v>972</v>
      </c>
      <c r="C8" s="7" t="s">
        <v>1156</v>
      </c>
      <c r="D8" s="7" t="s">
        <v>1003</v>
      </c>
      <c r="F8" s="7" t="s">
        <v>1166</v>
      </c>
      <c r="I8" s="7" t="s">
        <v>976</v>
      </c>
      <c r="M8" s="7" t="s">
        <v>975</v>
      </c>
      <c r="N8" s="7" t="s">
        <v>972</v>
      </c>
      <c r="P8" s="7" t="s">
        <v>977</v>
      </c>
      <c r="R8" s="7" t="s">
        <v>972</v>
      </c>
      <c r="S8" s="7">
        <v>20</v>
      </c>
      <c r="T8" s="7" t="s">
        <v>978</v>
      </c>
      <c r="V8" s="7" t="s">
        <v>3544</v>
      </c>
      <c r="X8" s="7">
        <v>0</v>
      </c>
      <c r="Y8" s="7" t="s">
        <v>982</v>
      </c>
      <c r="AE8" s="7" t="s">
        <v>982</v>
      </c>
      <c r="AF8" s="7" t="s">
        <v>982</v>
      </c>
      <c r="AH8" s="7" t="s">
        <v>982</v>
      </c>
      <c r="AP8" s="7" t="s">
        <v>976</v>
      </c>
      <c r="AR8" s="7" t="s">
        <v>976</v>
      </c>
      <c r="AT8" s="7" t="s">
        <v>987</v>
      </c>
      <c r="AV8" s="7" t="s">
        <v>972</v>
      </c>
      <c r="AW8" s="7" t="s">
        <v>1158</v>
      </c>
      <c r="AY8" s="7" t="s">
        <v>1027</v>
      </c>
      <c r="AZ8" s="7" t="s">
        <v>977</v>
      </c>
      <c r="BB8" s="7" t="s">
        <v>972</v>
      </c>
      <c r="BC8" s="7">
        <v>0</v>
      </c>
      <c r="BF8" s="7" t="s">
        <v>1159</v>
      </c>
      <c r="BH8" s="7">
        <v>0</v>
      </c>
      <c r="BI8" s="7" t="s">
        <v>982</v>
      </c>
      <c r="BW8" s="7" t="s">
        <v>976</v>
      </c>
      <c r="BY8" s="7" t="s">
        <v>990</v>
      </c>
      <c r="BZ8" s="7" t="s">
        <v>1244</v>
      </c>
    </row>
    <row r="9" spans="1:78" ht="25.5" x14ac:dyDescent="0.2">
      <c r="A9" s="6" t="s">
        <v>933</v>
      </c>
      <c r="B9" s="7" t="s">
        <v>972</v>
      </c>
      <c r="C9" s="7" t="s">
        <v>1156</v>
      </c>
      <c r="D9" s="7" t="s">
        <v>1003</v>
      </c>
      <c r="F9" s="7" t="s">
        <v>1183</v>
      </c>
      <c r="H9" s="7" t="s">
        <v>1201</v>
      </c>
      <c r="I9" s="7" t="s">
        <v>976</v>
      </c>
      <c r="M9" s="7" t="s">
        <v>975</v>
      </c>
      <c r="N9" s="7" t="s">
        <v>972</v>
      </c>
      <c r="P9" s="7" t="s">
        <v>977</v>
      </c>
      <c r="R9" s="7" t="s">
        <v>972</v>
      </c>
      <c r="S9" s="7">
        <v>8</v>
      </c>
      <c r="T9" s="7" t="s">
        <v>978</v>
      </c>
      <c r="V9" s="7" t="s">
        <v>990</v>
      </c>
      <c r="W9" s="7" t="s">
        <v>1202</v>
      </c>
      <c r="X9" s="7">
        <v>0</v>
      </c>
      <c r="Y9" s="7" t="s">
        <v>982</v>
      </c>
      <c r="AE9" s="7" t="s">
        <v>982</v>
      </c>
      <c r="AF9" s="7" t="s">
        <v>982</v>
      </c>
      <c r="AH9" s="7" t="s">
        <v>982</v>
      </c>
      <c r="AO9" s="24">
        <v>900</v>
      </c>
      <c r="AV9" s="7" t="s">
        <v>972</v>
      </c>
      <c r="AW9" s="7" t="s">
        <v>990</v>
      </c>
      <c r="AX9" s="7" t="s">
        <v>1203</v>
      </c>
      <c r="AY9" s="7" t="s">
        <v>975</v>
      </c>
      <c r="AZ9" s="7" t="s">
        <v>977</v>
      </c>
      <c r="BB9" s="7" t="s">
        <v>972</v>
      </c>
      <c r="BC9" s="7">
        <v>8</v>
      </c>
      <c r="BD9" s="7" t="s">
        <v>978</v>
      </c>
      <c r="BF9" s="7" t="s">
        <v>990</v>
      </c>
      <c r="BG9" s="7" t="s">
        <v>1203</v>
      </c>
      <c r="BH9" s="7">
        <v>0</v>
      </c>
      <c r="BI9" s="7" t="s">
        <v>982</v>
      </c>
      <c r="BO9" s="7" t="s">
        <v>982</v>
      </c>
      <c r="BP9" s="7" t="s">
        <v>982</v>
      </c>
      <c r="BR9" s="7" t="s">
        <v>982</v>
      </c>
      <c r="BW9" s="7" t="s">
        <v>976</v>
      </c>
      <c r="BY9" s="7" t="s">
        <v>990</v>
      </c>
      <c r="BZ9" s="7" t="s">
        <v>1204</v>
      </c>
    </row>
    <row r="10" spans="1:78" ht="63.75" x14ac:dyDescent="0.2">
      <c r="A10" s="6" t="s">
        <v>912</v>
      </c>
      <c r="B10" s="7" t="s">
        <v>972</v>
      </c>
      <c r="C10" s="7" t="s">
        <v>1156</v>
      </c>
      <c r="I10" s="7" t="s">
        <v>972</v>
      </c>
      <c r="J10" s="7">
        <v>4</v>
      </c>
      <c r="K10" s="7" t="s">
        <v>972</v>
      </c>
      <c r="M10" s="7" t="s">
        <v>975</v>
      </c>
      <c r="N10" s="7" t="s">
        <v>976</v>
      </c>
      <c r="P10" s="7" t="s">
        <v>977</v>
      </c>
      <c r="R10" s="7" t="s">
        <v>972</v>
      </c>
      <c r="T10" s="7" t="s">
        <v>978</v>
      </c>
      <c r="V10" s="7" t="s">
        <v>3544</v>
      </c>
      <c r="X10" s="7">
        <v>0</v>
      </c>
      <c r="Y10" s="7" t="s">
        <v>993</v>
      </c>
      <c r="Z10" s="7" t="s">
        <v>994</v>
      </c>
      <c r="AD10" s="7" t="s">
        <v>1162</v>
      </c>
      <c r="AE10" s="7" t="s">
        <v>993</v>
      </c>
      <c r="AF10" s="7" t="s">
        <v>993</v>
      </c>
      <c r="AH10" s="7" t="s">
        <v>993</v>
      </c>
      <c r="AR10" s="7" t="s">
        <v>976</v>
      </c>
      <c r="AT10" s="7" t="s">
        <v>1163</v>
      </c>
      <c r="AV10" s="7" t="s">
        <v>972</v>
      </c>
      <c r="AW10" s="7" t="s">
        <v>1164</v>
      </c>
      <c r="AY10" s="7" t="s">
        <v>975</v>
      </c>
      <c r="AZ10" s="7" t="s">
        <v>977</v>
      </c>
      <c r="BB10" s="7" t="s">
        <v>972</v>
      </c>
      <c r="BD10" s="7" t="s">
        <v>978</v>
      </c>
      <c r="BF10" s="7" t="s">
        <v>1159</v>
      </c>
      <c r="BH10" s="7">
        <v>0</v>
      </c>
      <c r="BI10" s="7" t="s">
        <v>993</v>
      </c>
      <c r="BJ10" s="7" t="s">
        <v>994</v>
      </c>
      <c r="BN10" s="7" t="s">
        <v>1162</v>
      </c>
      <c r="BO10" s="7" t="s">
        <v>983</v>
      </c>
      <c r="BP10" s="7" t="s">
        <v>983</v>
      </c>
      <c r="BR10" s="7" t="s">
        <v>983</v>
      </c>
      <c r="BW10" s="7" t="s">
        <v>976</v>
      </c>
      <c r="BY10" s="7" t="s">
        <v>990</v>
      </c>
      <c r="BZ10" s="7" t="s">
        <v>1165</v>
      </c>
    </row>
    <row r="11" spans="1:78" ht="51" x14ac:dyDescent="0.2">
      <c r="A11" s="6" t="s">
        <v>936</v>
      </c>
      <c r="B11" s="7" t="s">
        <v>972</v>
      </c>
      <c r="C11" s="7" t="s">
        <v>1156</v>
      </c>
      <c r="D11" s="7" t="s">
        <v>1003</v>
      </c>
      <c r="F11" s="7" t="s">
        <v>1166</v>
      </c>
      <c r="I11" s="7" t="s">
        <v>972</v>
      </c>
      <c r="J11" s="7">
        <v>1</v>
      </c>
      <c r="K11" s="7" t="s">
        <v>990</v>
      </c>
      <c r="L11" s="7" t="s">
        <v>1208</v>
      </c>
      <c r="M11" s="7" t="s">
        <v>975</v>
      </c>
      <c r="N11" s="7" t="s">
        <v>972</v>
      </c>
      <c r="P11" s="7" t="s">
        <v>977</v>
      </c>
      <c r="R11" s="7" t="s">
        <v>972</v>
      </c>
      <c r="S11" s="7">
        <v>20</v>
      </c>
      <c r="T11" s="7" t="s">
        <v>1074</v>
      </c>
      <c r="U11" s="7" t="s">
        <v>1209</v>
      </c>
      <c r="V11" s="7" t="s">
        <v>3560</v>
      </c>
      <c r="X11" s="7">
        <v>0</v>
      </c>
      <c r="Y11" s="7" t="s">
        <v>993</v>
      </c>
      <c r="Z11" s="7" t="s">
        <v>994</v>
      </c>
      <c r="AD11" s="7" t="s">
        <v>3562</v>
      </c>
      <c r="AE11" s="7" t="s">
        <v>983</v>
      </c>
      <c r="AF11" s="7" t="s">
        <v>983</v>
      </c>
      <c r="AH11" s="7" t="s">
        <v>983</v>
      </c>
      <c r="AP11" s="7" t="s">
        <v>976</v>
      </c>
      <c r="AR11" s="7" t="s">
        <v>976</v>
      </c>
      <c r="AT11" s="7" t="s">
        <v>1168</v>
      </c>
      <c r="AV11" s="7" t="s">
        <v>972</v>
      </c>
      <c r="AW11" s="7" t="s">
        <v>1158</v>
      </c>
      <c r="AY11" s="7" t="s">
        <v>1027</v>
      </c>
      <c r="AZ11" s="7" t="s">
        <v>977</v>
      </c>
      <c r="BB11" s="7" t="s">
        <v>972</v>
      </c>
      <c r="BC11" s="7">
        <v>20</v>
      </c>
      <c r="BF11" s="7" t="s">
        <v>1159</v>
      </c>
      <c r="BH11" s="7">
        <v>0</v>
      </c>
      <c r="BI11" s="7" t="s">
        <v>982</v>
      </c>
      <c r="BW11" s="7" t="s">
        <v>976</v>
      </c>
      <c r="BY11" s="7" t="s">
        <v>990</v>
      </c>
      <c r="BZ11" s="7" t="s">
        <v>1168</v>
      </c>
    </row>
    <row r="12" spans="1:78" ht="63.75" x14ac:dyDescent="0.2">
      <c r="A12" s="14" t="s">
        <v>911</v>
      </c>
      <c r="B12" s="15" t="s">
        <v>972</v>
      </c>
      <c r="C12" s="15" t="s">
        <v>1156</v>
      </c>
      <c r="D12" s="15" t="s">
        <v>1157</v>
      </c>
      <c r="E12" s="15"/>
      <c r="F12" s="15"/>
      <c r="G12" s="15"/>
      <c r="H12" s="15"/>
      <c r="I12" s="15" t="s">
        <v>972</v>
      </c>
      <c r="J12" s="15">
        <v>4</v>
      </c>
      <c r="K12" s="15" t="s">
        <v>972</v>
      </c>
      <c r="L12" s="15"/>
      <c r="M12" s="15" t="s">
        <v>975</v>
      </c>
      <c r="N12" s="15" t="s">
        <v>972</v>
      </c>
      <c r="O12" s="15"/>
      <c r="P12" s="15" t="s">
        <v>977</v>
      </c>
      <c r="Q12" s="15"/>
      <c r="R12" s="15" t="s">
        <v>972</v>
      </c>
      <c r="S12" s="15">
        <v>0</v>
      </c>
      <c r="T12" s="15" t="s">
        <v>978</v>
      </c>
      <c r="U12" s="15"/>
      <c r="V12" s="15" t="s">
        <v>3544</v>
      </c>
      <c r="W12" s="15"/>
      <c r="X12" s="15">
        <v>90</v>
      </c>
      <c r="Y12" s="15" t="s">
        <v>983</v>
      </c>
      <c r="Z12" s="15"/>
      <c r="AA12" s="15"/>
      <c r="AB12" s="15"/>
      <c r="AC12" s="15"/>
      <c r="AD12" s="15"/>
      <c r="AE12" s="15" t="s">
        <v>983</v>
      </c>
      <c r="AF12" s="15" t="s">
        <v>983</v>
      </c>
      <c r="AG12" s="15"/>
      <c r="AH12" s="15" t="s">
        <v>983</v>
      </c>
      <c r="AI12" s="15"/>
      <c r="AJ12" s="15"/>
      <c r="AK12" s="15"/>
      <c r="AL12" s="15"/>
      <c r="AM12" s="15">
        <v>298.2</v>
      </c>
      <c r="AN12" s="15">
        <v>894.24</v>
      </c>
      <c r="AO12" s="25">
        <v>894.24</v>
      </c>
      <c r="AP12" s="15" t="s">
        <v>976</v>
      </c>
      <c r="AQ12" s="15"/>
      <c r="AR12" s="15" t="s">
        <v>976</v>
      </c>
      <c r="AS12" s="15"/>
      <c r="AT12" s="15" t="s">
        <v>987</v>
      </c>
      <c r="AU12" s="15"/>
      <c r="AV12" s="15" t="s">
        <v>972</v>
      </c>
      <c r="AW12" s="15" t="s">
        <v>1158</v>
      </c>
      <c r="AX12" s="15"/>
      <c r="AY12" s="15" t="s">
        <v>1027</v>
      </c>
      <c r="AZ12" s="15" t="s">
        <v>977</v>
      </c>
      <c r="BA12" s="15"/>
      <c r="BB12" s="15" t="s">
        <v>972</v>
      </c>
      <c r="BC12" s="15">
        <v>0</v>
      </c>
      <c r="BD12" s="15"/>
      <c r="BE12" s="15"/>
      <c r="BF12" s="15" t="s">
        <v>1159</v>
      </c>
      <c r="BG12" s="15"/>
      <c r="BH12" s="15">
        <v>0</v>
      </c>
      <c r="BI12" s="15" t="s">
        <v>993</v>
      </c>
      <c r="BJ12" s="15" t="s">
        <v>1160</v>
      </c>
      <c r="BK12" s="15"/>
      <c r="BL12" s="15"/>
      <c r="BM12" s="15">
        <v>90</v>
      </c>
      <c r="BN12" s="15"/>
      <c r="BO12" s="15"/>
      <c r="BP12" s="15"/>
      <c r="BQ12" s="15"/>
      <c r="BR12" s="15"/>
      <c r="BS12" s="15"/>
      <c r="BT12" s="15"/>
      <c r="BU12" s="15"/>
      <c r="BV12" s="15"/>
      <c r="BW12" s="15" t="s">
        <v>976</v>
      </c>
      <c r="BX12" s="15"/>
      <c r="BY12" s="15" t="s">
        <v>990</v>
      </c>
      <c r="BZ12" s="15" t="s">
        <v>1161</v>
      </c>
    </row>
    <row r="13" spans="1:78" ht="63.75" x14ac:dyDescent="0.2">
      <c r="A13" s="6" t="s">
        <v>928</v>
      </c>
      <c r="B13" s="7" t="s">
        <v>972</v>
      </c>
      <c r="C13" s="7" t="s">
        <v>1156</v>
      </c>
      <c r="D13" s="7" t="s">
        <v>1157</v>
      </c>
      <c r="I13" s="7" t="s">
        <v>976</v>
      </c>
      <c r="M13" s="7" t="s">
        <v>975</v>
      </c>
      <c r="N13" s="7" t="s">
        <v>972</v>
      </c>
      <c r="P13" s="7" t="s">
        <v>977</v>
      </c>
      <c r="R13" s="7" t="s">
        <v>972</v>
      </c>
      <c r="T13" s="7" t="s">
        <v>978</v>
      </c>
      <c r="V13" s="7" t="s">
        <v>3544</v>
      </c>
      <c r="Y13" s="7" t="s">
        <v>993</v>
      </c>
      <c r="Z13" s="7" t="s">
        <v>1160</v>
      </c>
      <c r="AE13" s="7" t="s">
        <v>993</v>
      </c>
      <c r="AF13" s="7" t="s">
        <v>993</v>
      </c>
      <c r="AH13" s="7" t="s">
        <v>993</v>
      </c>
      <c r="AP13" s="7" t="s">
        <v>976</v>
      </c>
      <c r="AR13" s="7" t="s">
        <v>976</v>
      </c>
      <c r="AT13" s="7" t="s">
        <v>990</v>
      </c>
      <c r="AU13" s="7" t="s">
        <v>1194</v>
      </c>
      <c r="AV13" s="7" t="s">
        <v>972</v>
      </c>
      <c r="AW13" s="7" t="s">
        <v>1158</v>
      </c>
      <c r="AY13" s="7" t="s">
        <v>1027</v>
      </c>
      <c r="AZ13" s="7" t="s">
        <v>977</v>
      </c>
      <c r="BB13" s="7" t="s">
        <v>972</v>
      </c>
      <c r="BF13" s="7" t="s">
        <v>1195</v>
      </c>
      <c r="BG13" s="7" t="s">
        <v>1196</v>
      </c>
      <c r="BI13" s="7" t="s">
        <v>993</v>
      </c>
      <c r="BJ13" s="7" t="s">
        <v>1040</v>
      </c>
      <c r="BK13" s="7">
        <v>50</v>
      </c>
      <c r="BW13" s="7" t="s">
        <v>976</v>
      </c>
    </row>
    <row r="14" spans="1:78" ht="63.75" x14ac:dyDescent="0.2">
      <c r="A14" s="6" t="s">
        <v>926</v>
      </c>
      <c r="B14" s="7" t="s">
        <v>972</v>
      </c>
      <c r="C14" s="7" t="s">
        <v>1191</v>
      </c>
      <c r="D14" s="7" t="s">
        <v>1003</v>
      </c>
      <c r="F14" s="7" t="s">
        <v>1183</v>
      </c>
      <c r="H14" s="7" t="s">
        <v>1192</v>
      </c>
      <c r="I14" s="7" t="s">
        <v>976</v>
      </c>
      <c r="M14" s="7" t="s">
        <v>1027</v>
      </c>
      <c r="P14" s="7" t="s">
        <v>977</v>
      </c>
      <c r="R14" s="7" t="s">
        <v>976</v>
      </c>
      <c r="V14" s="7" t="s">
        <v>3544</v>
      </c>
      <c r="X14" s="7">
        <v>0</v>
      </c>
      <c r="Y14" s="7" t="s">
        <v>982</v>
      </c>
      <c r="AP14" s="7" t="s">
        <v>976</v>
      </c>
      <c r="AR14" s="7" t="s">
        <v>976</v>
      </c>
      <c r="AT14" s="7" t="s">
        <v>987</v>
      </c>
      <c r="AV14" s="7" t="s">
        <v>976</v>
      </c>
    </row>
    <row r="15" spans="1:78" ht="25.5" x14ac:dyDescent="0.2">
      <c r="A15" s="6" t="s">
        <v>948</v>
      </c>
      <c r="B15" s="7" t="s">
        <v>972</v>
      </c>
      <c r="C15" s="7" t="s">
        <v>1156</v>
      </c>
      <c r="D15" s="7" t="s">
        <v>1003</v>
      </c>
      <c r="F15" s="7" t="s">
        <v>990</v>
      </c>
      <c r="G15" s="7" t="s">
        <v>1230</v>
      </c>
      <c r="I15" s="7" t="s">
        <v>976</v>
      </c>
      <c r="M15" s="7" t="s">
        <v>975</v>
      </c>
      <c r="N15" s="7" t="s">
        <v>972</v>
      </c>
      <c r="P15" s="7" t="s">
        <v>977</v>
      </c>
      <c r="R15" s="7" t="s">
        <v>972</v>
      </c>
      <c r="S15" s="7">
        <v>1</v>
      </c>
      <c r="T15" s="7" t="s">
        <v>978</v>
      </c>
      <c r="V15" s="7" t="s">
        <v>990</v>
      </c>
      <c r="W15" s="7" t="s">
        <v>1202</v>
      </c>
      <c r="X15" s="7">
        <v>0</v>
      </c>
      <c r="Y15" s="7" t="s">
        <v>982</v>
      </c>
      <c r="AE15" s="7" t="s">
        <v>982</v>
      </c>
      <c r="AF15" s="7" t="s">
        <v>982</v>
      </c>
      <c r="AH15" s="7" t="s">
        <v>982</v>
      </c>
      <c r="AO15" s="24">
        <v>900</v>
      </c>
      <c r="AP15" s="7" t="s">
        <v>976</v>
      </c>
      <c r="AR15" s="7" t="s">
        <v>976</v>
      </c>
      <c r="AT15" s="7" t="s">
        <v>987</v>
      </c>
      <c r="AV15" s="7" t="s">
        <v>972</v>
      </c>
      <c r="AW15" s="7" t="s">
        <v>1158</v>
      </c>
      <c r="AY15" s="7" t="s">
        <v>975</v>
      </c>
      <c r="AZ15" s="7" t="s">
        <v>977</v>
      </c>
      <c r="BB15" s="7" t="s">
        <v>972</v>
      </c>
      <c r="BC15" s="7">
        <v>0</v>
      </c>
      <c r="BD15" s="7" t="s">
        <v>978</v>
      </c>
      <c r="BF15" s="7" t="s">
        <v>1180</v>
      </c>
      <c r="BH15" s="7">
        <v>0</v>
      </c>
      <c r="BI15" s="7" t="s">
        <v>982</v>
      </c>
      <c r="BO15" s="7" t="s">
        <v>982</v>
      </c>
      <c r="BP15" s="7" t="s">
        <v>982</v>
      </c>
      <c r="BR15" s="7" t="s">
        <v>982</v>
      </c>
      <c r="BW15" s="7" t="s">
        <v>976</v>
      </c>
      <c r="BY15" s="7" t="s">
        <v>990</v>
      </c>
      <c r="BZ15" s="7" t="s">
        <v>1231</v>
      </c>
    </row>
    <row r="16" spans="1:78" ht="63.75" x14ac:dyDescent="0.2">
      <c r="A16" s="6" t="s">
        <v>932</v>
      </c>
      <c r="B16" s="7" t="s">
        <v>972</v>
      </c>
      <c r="C16" s="7" t="s">
        <v>1156</v>
      </c>
      <c r="D16" s="7" t="s">
        <v>1003</v>
      </c>
      <c r="F16" s="7" t="s">
        <v>1166</v>
      </c>
      <c r="I16" s="7" t="s">
        <v>972</v>
      </c>
      <c r="J16" s="7">
        <v>2</v>
      </c>
      <c r="K16" s="7" t="s">
        <v>972</v>
      </c>
      <c r="M16" s="7" t="s">
        <v>975</v>
      </c>
      <c r="N16" s="7" t="s">
        <v>972</v>
      </c>
      <c r="P16" s="7" t="s">
        <v>977</v>
      </c>
      <c r="R16" s="7" t="s">
        <v>972</v>
      </c>
      <c r="S16" s="7">
        <v>20</v>
      </c>
      <c r="T16" s="7" t="s">
        <v>978</v>
      </c>
      <c r="V16" s="7" t="s">
        <v>3544</v>
      </c>
      <c r="X16" s="7">
        <v>0</v>
      </c>
      <c r="Y16" s="7" t="s">
        <v>982</v>
      </c>
      <c r="AE16" s="7" t="s">
        <v>993</v>
      </c>
      <c r="AF16" s="7" t="s">
        <v>993</v>
      </c>
      <c r="AH16" s="7" t="s">
        <v>993</v>
      </c>
      <c r="AP16" s="7" t="s">
        <v>976</v>
      </c>
      <c r="AR16" s="7" t="s">
        <v>976</v>
      </c>
      <c r="AT16" s="7" t="s">
        <v>990</v>
      </c>
      <c r="AU16" s="7" t="s">
        <v>1066</v>
      </c>
      <c r="AV16" s="7" t="s">
        <v>972</v>
      </c>
      <c r="AW16" s="7" t="s">
        <v>990</v>
      </c>
      <c r="AX16" s="7" t="s">
        <v>1199</v>
      </c>
      <c r="AY16" s="7" t="s">
        <v>975</v>
      </c>
      <c r="AZ16" s="7" t="s">
        <v>977</v>
      </c>
      <c r="BB16" s="7" t="s">
        <v>972</v>
      </c>
      <c r="BC16" s="7">
        <v>20</v>
      </c>
      <c r="BD16" s="7" t="s">
        <v>978</v>
      </c>
      <c r="BF16" s="7" t="s">
        <v>1159</v>
      </c>
      <c r="BH16" s="7">
        <v>0</v>
      </c>
      <c r="BI16" s="7" t="s">
        <v>993</v>
      </c>
      <c r="BJ16" s="7" t="s">
        <v>994</v>
      </c>
      <c r="BN16" s="7" t="s">
        <v>1200</v>
      </c>
      <c r="BO16" s="7" t="s">
        <v>993</v>
      </c>
      <c r="BP16" s="7" t="s">
        <v>993</v>
      </c>
      <c r="BR16" s="7" t="s">
        <v>993</v>
      </c>
      <c r="BW16" s="7" t="s">
        <v>976</v>
      </c>
      <c r="BY16" s="7" t="s">
        <v>990</v>
      </c>
      <c r="BZ16" s="7" t="s">
        <v>1066</v>
      </c>
    </row>
    <row r="17" spans="1:78" ht="63.75" x14ac:dyDescent="0.2">
      <c r="A17" s="6" t="s">
        <v>941</v>
      </c>
      <c r="B17" s="7" t="s">
        <v>972</v>
      </c>
      <c r="C17" s="7" t="s">
        <v>1156</v>
      </c>
      <c r="D17" s="7" t="s">
        <v>1003</v>
      </c>
      <c r="F17" s="7" t="s">
        <v>1166</v>
      </c>
      <c r="I17" s="7" t="s">
        <v>976</v>
      </c>
      <c r="M17" s="7" t="s">
        <v>975</v>
      </c>
      <c r="N17" s="7" t="s">
        <v>972</v>
      </c>
      <c r="P17" s="7" t="s">
        <v>977</v>
      </c>
      <c r="R17" s="7" t="s">
        <v>972</v>
      </c>
      <c r="S17" s="7">
        <v>0</v>
      </c>
      <c r="T17" s="7" t="s">
        <v>978</v>
      </c>
      <c r="V17" s="7" t="s">
        <v>3544</v>
      </c>
      <c r="X17" s="7">
        <v>0</v>
      </c>
      <c r="Y17" s="7" t="s">
        <v>982</v>
      </c>
      <c r="AE17" s="7" t="s">
        <v>982</v>
      </c>
      <c r="AF17" s="7" t="s">
        <v>982</v>
      </c>
      <c r="AH17" s="7" t="s">
        <v>982</v>
      </c>
      <c r="AO17" s="24">
        <v>3000</v>
      </c>
      <c r="AP17" s="7" t="s">
        <v>976</v>
      </c>
      <c r="AR17" s="7" t="s">
        <v>976</v>
      </c>
      <c r="AT17" s="7" t="s">
        <v>990</v>
      </c>
      <c r="AU17" s="7" t="s">
        <v>1066</v>
      </c>
      <c r="AV17" s="7" t="s">
        <v>972</v>
      </c>
      <c r="AW17" s="7" t="s">
        <v>1158</v>
      </c>
      <c r="AY17" s="7" t="s">
        <v>1027</v>
      </c>
      <c r="AZ17" s="7" t="s">
        <v>977</v>
      </c>
      <c r="BB17" s="7" t="s">
        <v>972</v>
      </c>
      <c r="BC17" s="7">
        <v>0</v>
      </c>
      <c r="BF17" s="7" t="s">
        <v>1159</v>
      </c>
      <c r="BH17" s="7">
        <v>0</v>
      </c>
      <c r="BI17" s="7" t="s">
        <v>982</v>
      </c>
      <c r="BW17" s="7" t="s">
        <v>976</v>
      </c>
      <c r="BY17" s="7" t="s">
        <v>990</v>
      </c>
      <c r="BZ17" s="7" t="s">
        <v>1221</v>
      </c>
    </row>
    <row r="18" spans="1:78" x14ac:dyDescent="0.2">
      <c r="A18" s="6" t="s">
        <v>956</v>
      </c>
      <c r="B18" s="7" t="s">
        <v>976</v>
      </c>
      <c r="AV18" s="7" t="s">
        <v>976</v>
      </c>
    </row>
    <row r="19" spans="1:78" ht="38.25" x14ac:dyDescent="0.2">
      <c r="A19" s="6" t="s">
        <v>934</v>
      </c>
      <c r="B19" s="7" t="s">
        <v>972</v>
      </c>
      <c r="C19" s="7" t="s">
        <v>1156</v>
      </c>
      <c r="D19" s="7" t="s">
        <v>1003</v>
      </c>
      <c r="F19" s="7" t="s">
        <v>1166</v>
      </c>
      <c r="I19" s="7" t="s">
        <v>976</v>
      </c>
      <c r="M19" s="7" t="s">
        <v>975</v>
      </c>
      <c r="N19" s="7" t="s">
        <v>972</v>
      </c>
      <c r="P19" s="7" t="s">
        <v>977</v>
      </c>
      <c r="R19" s="7" t="s">
        <v>972</v>
      </c>
      <c r="S19" s="7">
        <v>1</v>
      </c>
      <c r="T19" s="7" t="s">
        <v>978</v>
      </c>
      <c r="V19" s="7" t="s">
        <v>3549</v>
      </c>
      <c r="X19" s="7">
        <v>0</v>
      </c>
      <c r="Y19" s="7" t="s">
        <v>983</v>
      </c>
      <c r="AE19" s="7" t="s">
        <v>983</v>
      </c>
      <c r="AF19" s="7" t="s">
        <v>983</v>
      </c>
      <c r="AH19" s="7" t="s">
        <v>983</v>
      </c>
      <c r="AP19" s="7" t="s">
        <v>976</v>
      </c>
      <c r="AR19" s="7" t="s">
        <v>976</v>
      </c>
      <c r="AT19" s="7" t="s">
        <v>1163</v>
      </c>
      <c r="AV19" s="7" t="s">
        <v>972</v>
      </c>
      <c r="AW19" s="7" t="s">
        <v>1158</v>
      </c>
      <c r="AY19" s="7" t="s">
        <v>1027</v>
      </c>
      <c r="AZ19" s="7" t="s">
        <v>977</v>
      </c>
      <c r="BB19" s="7" t="s">
        <v>972</v>
      </c>
      <c r="BC19" s="7">
        <v>0</v>
      </c>
      <c r="BF19" s="7" t="s">
        <v>1205</v>
      </c>
      <c r="BH19" s="7">
        <v>0</v>
      </c>
      <c r="BI19" s="7" t="s">
        <v>982</v>
      </c>
      <c r="BW19" s="7" t="s">
        <v>976</v>
      </c>
      <c r="BY19" s="7" t="s">
        <v>1206</v>
      </c>
    </row>
    <row r="20" spans="1:78" ht="51" x14ac:dyDescent="0.2">
      <c r="A20" s="6" t="s">
        <v>961</v>
      </c>
      <c r="B20" s="7" t="s">
        <v>972</v>
      </c>
      <c r="C20" s="7" t="s">
        <v>1156</v>
      </c>
      <c r="D20" s="7" t="s">
        <v>1003</v>
      </c>
      <c r="F20" s="7" t="s">
        <v>1166</v>
      </c>
      <c r="I20" s="7" t="s">
        <v>976</v>
      </c>
      <c r="M20" s="7" t="s">
        <v>975</v>
      </c>
      <c r="N20" s="7" t="s">
        <v>972</v>
      </c>
      <c r="P20" s="7" t="s">
        <v>977</v>
      </c>
      <c r="R20" s="7" t="s">
        <v>972</v>
      </c>
      <c r="S20" s="7">
        <v>0</v>
      </c>
      <c r="T20" s="7" t="s">
        <v>978</v>
      </c>
      <c r="V20" s="7" t="s">
        <v>3556</v>
      </c>
      <c r="X20" s="7">
        <v>0</v>
      </c>
      <c r="Y20" s="7" t="s">
        <v>982</v>
      </c>
      <c r="AE20" s="7" t="s">
        <v>982</v>
      </c>
      <c r="AF20" s="7" t="s">
        <v>982</v>
      </c>
      <c r="AH20" s="7" t="s">
        <v>982</v>
      </c>
      <c r="AP20" s="7" t="s">
        <v>976</v>
      </c>
      <c r="AR20" s="7" t="s">
        <v>976</v>
      </c>
      <c r="AT20" s="7" t="s">
        <v>987</v>
      </c>
      <c r="AV20" s="7" t="s">
        <v>972</v>
      </c>
      <c r="AW20" s="7" t="s">
        <v>1158</v>
      </c>
      <c r="AY20" s="7" t="s">
        <v>1027</v>
      </c>
      <c r="AZ20" s="7" t="s">
        <v>977</v>
      </c>
      <c r="BB20" s="7" t="s">
        <v>972</v>
      </c>
      <c r="BC20" s="7">
        <v>0</v>
      </c>
      <c r="BF20" s="7" t="s">
        <v>1195</v>
      </c>
      <c r="BG20" s="7" t="s">
        <v>1245</v>
      </c>
      <c r="BH20" s="7">
        <v>0</v>
      </c>
      <c r="BI20" s="7" t="s">
        <v>993</v>
      </c>
      <c r="BJ20" s="7" t="s">
        <v>1160</v>
      </c>
      <c r="BM20" s="7">
        <v>300</v>
      </c>
      <c r="BW20" s="7" t="s">
        <v>976</v>
      </c>
      <c r="BY20" s="7" t="s">
        <v>990</v>
      </c>
      <c r="BZ20" s="7" t="s">
        <v>1246</v>
      </c>
    </row>
    <row r="21" spans="1:78" ht="63.75" x14ac:dyDescent="0.2">
      <c r="A21" s="14" t="s">
        <v>939</v>
      </c>
      <c r="B21" s="15" t="s">
        <v>972</v>
      </c>
      <c r="C21" s="15" t="s">
        <v>1156</v>
      </c>
      <c r="D21" s="15" t="s">
        <v>1003</v>
      </c>
      <c r="E21" s="15"/>
      <c r="F21" s="15" t="s">
        <v>1166</v>
      </c>
      <c r="G21" s="15"/>
      <c r="H21" s="15"/>
      <c r="I21" s="15" t="s">
        <v>972</v>
      </c>
      <c r="J21" s="15">
        <v>4</v>
      </c>
      <c r="K21" s="15" t="s">
        <v>972</v>
      </c>
      <c r="L21" s="15"/>
      <c r="M21" s="15" t="s">
        <v>1027</v>
      </c>
      <c r="N21" s="15"/>
      <c r="O21" s="15"/>
      <c r="P21" s="15" t="s">
        <v>977</v>
      </c>
      <c r="Q21" s="15"/>
      <c r="R21" s="15" t="s">
        <v>972</v>
      </c>
      <c r="S21" s="15"/>
      <c r="T21" s="15"/>
      <c r="U21" s="15"/>
      <c r="V21" s="15" t="s">
        <v>3558</v>
      </c>
      <c r="W21" s="15" t="s">
        <v>1215</v>
      </c>
      <c r="X21" s="15">
        <v>0</v>
      </c>
      <c r="Y21" s="15" t="s">
        <v>993</v>
      </c>
      <c r="Z21" s="15" t="s">
        <v>1160</v>
      </c>
      <c r="AA21" s="15"/>
      <c r="AB21" s="15"/>
      <c r="AC21" s="15">
        <v>85.42</v>
      </c>
      <c r="AD21" s="15"/>
      <c r="AE21" s="15"/>
      <c r="AF21" s="15"/>
      <c r="AG21" s="15"/>
      <c r="AH21" s="15"/>
      <c r="AI21" s="15"/>
      <c r="AJ21" s="15"/>
      <c r="AK21" s="15"/>
      <c r="AL21" s="15"/>
      <c r="AM21" s="15"/>
      <c r="AN21" s="15">
        <v>170.85</v>
      </c>
      <c r="AO21" s="25">
        <v>547.5</v>
      </c>
      <c r="AP21" s="15" t="s">
        <v>976</v>
      </c>
      <c r="AQ21" s="15"/>
      <c r="AR21" s="15" t="s">
        <v>976</v>
      </c>
      <c r="AS21" s="15"/>
      <c r="AT21" s="15" t="s">
        <v>987</v>
      </c>
      <c r="AU21" s="15"/>
      <c r="AV21" s="15" t="s">
        <v>972</v>
      </c>
      <c r="AW21" s="15" t="s">
        <v>990</v>
      </c>
      <c r="AX21" s="15" t="s">
        <v>1216</v>
      </c>
      <c r="AY21" s="15" t="s">
        <v>1027</v>
      </c>
      <c r="AZ21" s="15" t="s">
        <v>977</v>
      </c>
      <c r="BA21" s="15"/>
      <c r="BB21" s="15" t="s">
        <v>972</v>
      </c>
      <c r="BC21" s="15">
        <v>1</v>
      </c>
      <c r="BD21" s="15"/>
      <c r="BE21" s="15"/>
      <c r="BF21" s="15" t="s">
        <v>1188</v>
      </c>
      <c r="BG21" s="15"/>
      <c r="BH21" s="15">
        <v>0</v>
      </c>
      <c r="BI21" s="15" t="s">
        <v>993</v>
      </c>
      <c r="BJ21" s="15" t="s">
        <v>1160</v>
      </c>
      <c r="BK21" s="15"/>
      <c r="BL21" s="15"/>
      <c r="BM21" s="15">
        <v>55</v>
      </c>
      <c r="BN21" s="15"/>
      <c r="BO21" s="15"/>
      <c r="BP21" s="15"/>
      <c r="BQ21" s="15"/>
      <c r="BR21" s="15"/>
      <c r="BS21" s="15"/>
      <c r="BT21" s="15"/>
      <c r="BU21" s="15"/>
      <c r="BV21" s="15"/>
      <c r="BW21" s="15" t="s">
        <v>976</v>
      </c>
      <c r="BX21" s="15"/>
      <c r="BY21" s="15" t="s">
        <v>990</v>
      </c>
      <c r="BZ21" s="15" t="s">
        <v>1217</v>
      </c>
    </row>
    <row r="22" spans="1:78" ht="63.75" x14ac:dyDescent="0.2">
      <c r="A22" s="6" t="s">
        <v>938</v>
      </c>
      <c r="B22" s="7" t="s">
        <v>972</v>
      </c>
      <c r="C22" s="7" t="s">
        <v>1156</v>
      </c>
      <c r="D22" s="7" t="s">
        <v>1003</v>
      </c>
      <c r="F22" s="7" t="s">
        <v>1166</v>
      </c>
      <c r="I22" s="7" t="s">
        <v>976</v>
      </c>
      <c r="M22" s="7" t="s">
        <v>975</v>
      </c>
      <c r="N22" s="7" t="s">
        <v>972</v>
      </c>
      <c r="P22" s="7" t="s">
        <v>977</v>
      </c>
      <c r="R22" s="7" t="s">
        <v>972</v>
      </c>
      <c r="S22" s="7">
        <v>7</v>
      </c>
      <c r="T22" s="7" t="s">
        <v>978</v>
      </c>
      <c r="V22" s="7" t="s">
        <v>3544</v>
      </c>
      <c r="X22" s="7">
        <v>30</v>
      </c>
      <c r="Y22" s="7" t="s">
        <v>982</v>
      </c>
      <c r="AE22" s="7" t="s">
        <v>982</v>
      </c>
      <c r="AF22" s="7" t="s">
        <v>982</v>
      </c>
      <c r="AH22" s="7" t="s">
        <v>982</v>
      </c>
      <c r="AM22" s="7">
        <v>100</v>
      </c>
      <c r="AN22" s="7">
        <v>100</v>
      </c>
      <c r="AO22" s="24">
        <v>5000</v>
      </c>
      <c r="AP22" s="7" t="s">
        <v>976</v>
      </c>
      <c r="AR22" s="7" t="s">
        <v>976</v>
      </c>
      <c r="AT22" s="7" t="s">
        <v>987</v>
      </c>
      <c r="AV22" s="7" t="s">
        <v>972</v>
      </c>
      <c r="AW22" s="7" t="s">
        <v>990</v>
      </c>
      <c r="AX22" s="7" t="s">
        <v>1213</v>
      </c>
      <c r="AY22" s="7" t="s">
        <v>1027</v>
      </c>
      <c r="AZ22" s="7" t="s">
        <v>977</v>
      </c>
      <c r="BB22" s="7" t="s">
        <v>972</v>
      </c>
      <c r="BC22" s="7">
        <v>7</v>
      </c>
      <c r="BF22" s="7" t="s">
        <v>1180</v>
      </c>
      <c r="BH22" s="7">
        <v>30</v>
      </c>
      <c r="BI22" s="7" t="s">
        <v>982</v>
      </c>
      <c r="BW22" s="7" t="s">
        <v>976</v>
      </c>
      <c r="BY22" s="7" t="s">
        <v>990</v>
      </c>
      <c r="BZ22" s="7" t="s">
        <v>1214</v>
      </c>
    </row>
    <row r="23" spans="1:78" ht="51" x14ac:dyDescent="0.2">
      <c r="A23" s="6" t="s">
        <v>947</v>
      </c>
      <c r="B23" s="7" t="s">
        <v>972</v>
      </c>
      <c r="C23" s="7" t="s">
        <v>1156</v>
      </c>
      <c r="D23" s="7" t="s">
        <v>1003</v>
      </c>
      <c r="F23" s="7" t="s">
        <v>1166</v>
      </c>
      <c r="I23" s="7" t="s">
        <v>976</v>
      </c>
      <c r="M23" s="7" t="s">
        <v>975</v>
      </c>
      <c r="N23" s="7" t="s">
        <v>976</v>
      </c>
      <c r="O23" s="7" t="s">
        <v>1229</v>
      </c>
      <c r="P23" s="7" t="s">
        <v>977</v>
      </c>
      <c r="R23" s="7" t="s">
        <v>972</v>
      </c>
      <c r="T23" s="7" t="s">
        <v>978</v>
      </c>
      <c r="V23" s="7" t="s">
        <v>3545</v>
      </c>
      <c r="X23" s="7">
        <v>0</v>
      </c>
      <c r="Y23" s="7" t="s">
        <v>982</v>
      </c>
      <c r="AE23" s="7" t="s">
        <v>982</v>
      </c>
      <c r="AF23" s="7" t="s">
        <v>993</v>
      </c>
      <c r="AH23" s="7" t="s">
        <v>993</v>
      </c>
      <c r="AP23" s="7" t="s">
        <v>976</v>
      </c>
      <c r="AR23" s="7" t="s">
        <v>976</v>
      </c>
      <c r="AT23" s="7" t="s">
        <v>987</v>
      </c>
      <c r="AV23" s="7" t="s">
        <v>972</v>
      </c>
      <c r="AW23" s="7" t="s">
        <v>1164</v>
      </c>
      <c r="AY23" s="7" t="s">
        <v>975</v>
      </c>
      <c r="AZ23" s="7" t="s">
        <v>977</v>
      </c>
      <c r="BB23" s="7" t="s">
        <v>972</v>
      </c>
      <c r="BD23" s="7" t="s">
        <v>978</v>
      </c>
      <c r="BF23" s="7" t="s">
        <v>1180</v>
      </c>
      <c r="BH23" s="7">
        <v>0</v>
      </c>
      <c r="BI23" s="7" t="s">
        <v>982</v>
      </c>
      <c r="BO23" s="7" t="s">
        <v>993</v>
      </c>
      <c r="BP23" s="7" t="s">
        <v>993</v>
      </c>
      <c r="BR23" s="7" t="s">
        <v>993</v>
      </c>
      <c r="BW23" s="7" t="s">
        <v>976</v>
      </c>
      <c r="BY23" s="7" t="s">
        <v>990</v>
      </c>
      <c r="BZ23" s="7" t="s">
        <v>1171</v>
      </c>
    </row>
    <row r="24" spans="1:78" ht="63.75" x14ac:dyDescent="0.2">
      <c r="A24" s="6" t="s">
        <v>937</v>
      </c>
      <c r="B24" s="7" t="s">
        <v>972</v>
      </c>
      <c r="C24" s="7" t="s">
        <v>1191</v>
      </c>
      <c r="D24" s="7" t="s">
        <v>1003</v>
      </c>
      <c r="F24" s="7" t="s">
        <v>1183</v>
      </c>
      <c r="H24" s="7" t="s">
        <v>1210</v>
      </c>
      <c r="I24" s="7" t="s">
        <v>976</v>
      </c>
      <c r="M24" s="7" t="s">
        <v>1027</v>
      </c>
      <c r="P24" s="7" t="s">
        <v>977</v>
      </c>
      <c r="R24" s="7" t="s">
        <v>972</v>
      </c>
      <c r="S24" s="7">
        <v>0</v>
      </c>
      <c r="V24" s="7" t="s">
        <v>3544</v>
      </c>
      <c r="X24" s="7">
        <v>0</v>
      </c>
      <c r="Y24" s="7" t="s">
        <v>982</v>
      </c>
      <c r="AO24" s="24">
        <v>5000</v>
      </c>
      <c r="AP24" s="7" t="s">
        <v>972</v>
      </c>
      <c r="AQ24" s="7" t="s">
        <v>1211</v>
      </c>
      <c r="AR24" s="7" t="s">
        <v>976</v>
      </c>
      <c r="AT24" s="7" t="s">
        <v>987</v>
      </c>
      <c r="AV24" s="7" t="s">
        <v>972</v>
      </c>
      <c r="AW24" s="7" t="s">
        <v>990</v>
      </c>
      <c r="AX24" s="7" t="s">
        <v>1212</v>
      </c>
      <c r="AY24" s="7" t="s">
        <v>975</v>
      </c>
      <c r="AZ24" s="7" t="s">
        <v>977</v>
      </c>
      <c r="BB24" s="7" t="s">
        <v>972</v>
      </c>
      <c r="BC24" s="7">
        <v>0</v>
      </c>
      <c r="BD24" s="7" t="s">
        <v>978</v>
      </c>
      <c r="BF24" s="7" t="s">
        <v>1180</v>
      </c>
      <c r="BH24" s="7">
        <v>0</v>
      </c>
      <c r="BI24" s="7" t="s">
        <v>982</v>
      </c>
      <c r="BO24" s="7" t="s">
        <v>982</v>
      </c>
      <c r="BP24" s="7" t="s">
        <v>982</v>
      </c>
      <c r="BR24" s="7" t="s">
        <v>982</v>
      </c>
      <c r="BW24" s="7" t="s">
        <v>976</v>
      </c>
      <c r="BY24" s="7" t="s">
        <v>990</v>
      </c>
      <c r="BZ24" s="7" t="s">
        <v>987</v>
      </c>
    </row>
    <row r="25" spans="1:78" ht="63.75" x14ac:dyDescent="0.2">
      <c r="A25" s="6" t="s">
        <v>949</v>
      </c>
      <c r="B25" s="7" t="s">
        <v>972</v>
      </c>
      <c r="C25" s="7" t="s">
        <v>1156</v>
      </c>
      <c r="D25" s="7" t="s">
        <v>1157</v>
      </c>
      <c r="I25" s="7" t="s">
        <v>976</v>
      </c>
      <c r="M25" s="7" t="s">
        <v>975</v>
      </c>
      <c r="N25" s="7" t="s">
        <v>972</v>
      </c>
      <c r="P25" s="7" t="s">
        <v>977</v>
      </c>
      <c r="R25" s="7" t="s">
        <v>972</v>
      </c>
      <c r="S25" s="7">
        <v>1</v>
      </c>
      <c r="T25" s="7" t="s">
        <v>978</v>
      </c>
      <c r="V25" s="7" t="s">
        <v>3544</v>
      </c>
      <c r="X25" s="7">
        <v>0</v>
      </c>
      <c r="Y25" s="7" t="s">
        <v>982</v>
      </c>
      <c r="AE25" s="7" t="s">
        <v>982</v>
      </c>
      <c r="AF25" s="7" t="s">
        <v>982</v>
      </c>
      <c r="AH25" s="7" t="s">
        <v>982</v>
      </c>
      <c r="AP25" s="7" t="s">
        <v>976</v>
      </c>
      <c r="AR25" s="7" t="s">
        <v>976</v>
      </c>
      <c r="AT25" s="7" t="s">
        <v>987</v>
      </c>
      <c r="AV25" s="7" t="s">
        <v>972</v>
      </c>
      <c r="AW25" s="7" t="s">
        <v>1158</v>
      </c>
      <c r="AY25" s="7" t="s">
        <v>1027</v>
      </c>
      <c r="AZ25" s="7" t="s">
        <v>977</v>
      </c>
      <c r="BB25" s="7" t="s">
        <v>972</v>
      </c>
      <c r="BC25" s="7">
        <v>1</v>
      </c>
      <c r="BF25" s="7" t="s">
        <v>1180</v>
      </c>
      <c r="BH25" s="7">
        <v>0</v>
      </c>
      <c r="BI25" s="7" t="s">
        <v>982</v>
      </c>
      <c r="BW25" s="7" t="s">
        <v>976</v>
      </c>
      <c r="BY25" s="7" t="s">
        <v>990</v>
      </c>
      <c r="BZ25" s="7" t="s">
        <v>1232</v>
      </c>
    </row>
    <row r="26" spans="1:78" ht="51" x14ac:dyDescent="0.2">
      <c r="A26" s="6" t="s">
        <v>963</v>
      </c>
      <c r="B26" s="7" t="s">
        <v>972</v>
      </c>
      <c r="C26" s="7" t="s">
        <v>1156</v>
      </c>
      <c r="D26" s="7" t="s">
        <v>1003</v>
      </c>
      <c r="F26" s="7" t="s">
        <v>1166</v>
      </c>
      <c r="I26" s="7" t="s">
        <v>976</v>
      </c>
      <c r="M26" s="7" t="s">
        <v>975</v>
      </c>
      <c r="N26" s="7" t="s">
        <v>972</v>
      </c>
      <c r="P26" s="7" t="s">
        <v>977</v>
      </c>
      <c r="R26" s="7" t="s">
        <v>972</v>
      </c>
      <c r="S26" s="7">
        <v>10</v>
      </c>
      <c r="T26" s="7" t="s">
        <v>978</v>
      </c>
      <c r="V26" s="7" t="s">
        <v>3546</v>
      </c>
      <c r="W26" s="7" t="s">
        <v>1250</v>
      </c>
      <c r="X26" s="7">
        <v>0</v>
      </c>
      <c r="Y26" s="7" t="s">
        <v>982</v>
      </c>
      <c r="AE26" s="7" t="s">
        <v>983</v>
      </c>
      <c r="AF26" s="7" t="s">
        <v>983</v>
      </c>
      <c r="AH26" s="7" t="s">
        <v>983</v>
      </c>
      <c r="AO26" s="24">
        <v>6000</v>
      </c>
      <c r="AP26" s="7" t="s">
        <v>976</v>
      </c>
      <c r="AR26" s="7" t="s">
        <v>976</v>
      </c>
      <c r="AT26" s="7" t="s">
        <v>987</v>
      </c>
      <c r="AV26" s="7" t="s">
        <v>972</v>
      </c>
      <c r="AW26" s="7" t="s">
        <v>1158</v>
      </c>
      <c r="AY26" s="7" t="s">
        <v>1027</v>
      </c>
      <c r="AZ26" s="7" t="s">
        <v>977</v>
      </c>
      <c r="BB26" s="7" t="s">
        <v>972</v>
      </c>
      <c r="BC26" s="7">
        <v>10</v>
      </c>
      <c r="BF26" s="7" t="s">
        <v>1159</v>
      </c>
      <c r="BH26" s="7">
        <v>0</v>
      </c>
      <c r="BI26" s="7" t="s">
        <v>982</v>
      </c>
      <c r="BW26" s="7" t="s">
        <v>976</v>
      </c>
      <c r="BY26" s="7" t="s">
        <v>990</v>
      </c>
      <c r="BZ26" s="7" t="s">
        <v>1251</v>
      </c>
    </row>
    <row r="27" spans="1:78" s="14" customFormat="1" ht="38.25" x14ac:dyDescent="0.2">
      <c r="A27" s="6" t="s">
        <v>913</v>
      </c>
      <c r="B27" s="7" t="s">
        <v>972</v>
      </c>
      <c r="C27" s="7" t="s">
        <v>1156</v>
      </c>
      <c r="D27" s="7" t="s">
        <v>1003</v>
      </c>
      <c r="E27" s="7"/>
      <c r="F27" s="7" t="s">
        <v>1166</v>
      </c>
      <c r="G27" s="7"/>
      <c r="H27" s="7"/>
      <c r="I27" s="7" t="s">
        <v>972</v>
      </c>
      <c r="J27" s="7">
        <v>4</v>
      </c>
      <c r="K27" s="7" t="s">
        <v>972</v>
      </c>
      <c r="L27" s="7"/>
      <c r="M27" s="7" t="s">
        <v>975</v>
      </c>
      <c r="N27" s="7" t="s">
        <v>972</v>
      </c>
      <c r="O27" s="7"/>
      <c r="P27" s="7" t="s">
        <v>977</v>
      </c>
      <c r="Q27" s="7"/>
      <c r="R27" s="7" t="s">
        <v>972</v>
      </c>
      <c r="S27" s="7">
        <v>10</v>
      </c>
      <c r="T27" s="7" t="s">
        <v>978</v>
      </c>
      <c r="U27" s="7"/>
      <c r="V27" s="7" t="s">
        <v>990</v>
      </c>
      <c r="W27" s="7" t="s">
        <v>1167</v>
      </c>
      <c r="X27" s="7">
        <v>30</v>
      </c>
      <c r="Y27" s="7" t="s">
        <v>983</v>
      </c>
      <c r="Z27" s="7"/>
      <c r="AA27" s="7"/>
      <c r="AB27" s="7"/>
      <c r="AC27" s="7"/>
      <c r="AD27" s="7"/>
      <c r="AE27" s="7" t="s">
        <v>983</v>
      </c>
      <c r="AF27" s="7" t="s">
        <v>983</v>
      </c>
      <c r="AG27" s="7"/>
      <c r="AH27" s="7" t="s">
        <v>983</v>
      </c>
      <c r="AI27" s="7"/>
      <c r="AJ27" s="7"/>
      <c r="AK27" s="7"/>
      <c r="AL27" s="7"/>
      <c r="AM27" s="7">
        <v>275</v>
      </c>
      <c r="AN27" s="7">
        <v>825</v>
      </c>
      <c r="AO27" s="24">
        <v>825</v>
      </c>
      <c r="AP27" s="7" t="s">
        <v>976</v>
      </c>
      <c r="AQ27" s="7"/>
      <c r="AR27" s="7" t="s">
        <v>976</v>
      </c>
      <c r="AS27" s="7"/>
      <c r="AT27" s="7" t="s">
        <v>1168</v>
      </c>
      <c r="AU27" s="7"/>
      <c r="AV27" s="7" t="s">
        <v>972</v>
      </c>
      <c r="AW27" s="7" t="s">
        <v>1158</v>
      </c>
      <c r="AX27" s="7"/>
      <c r="AY27" s="7" t="s">
        <v>1027</v>
      </c>
      <c r="AZ27" s="7" t="s">
        <v>977</v>
      </c>
      <c r="BA27" s="7"/>
      <c r="BB27" s="7" t="s">
        <v>972</v>
      </c>
      <c r="BC27" s="7">
        <v>10</v>
      </c>
      <c r="BD27" s="7"/>
      <c r="BE27" s="7"/>
      <c r="BF27" s="7" t="s">
        <v>990</v>
      </c>
      <c r="BG27" s="7" t="s">
        <v>1169</v>
      </c>
      <c r="BH27" s="7">
        <v>0</v>
      </c>
      <c r="BI27" s="7" t="s">
        <v>982</v>
      </c>
      <c r="BJ27" s="7"/>
      <c r="BK27" s="7"/>
      <c r="BL27" s="7"/>
      <c r="BM27" s="7"/>
      <c r="BN27" s="7"/>
      <c r="BO27" s="7"/>
      <c r="BP27" s="7"/>
      <c r="BQ27" s="7"/>
      <c r="BR27" s="7"/>
      <c r="BS27" s="7"/>
      <c r="BT27" s="7"/>
      <c r="BU27" s="7"/>
      <c r="BV27" s="7"/>
      <c r="BW27" s="7" t="s">
        <v>976</v>
      </c>
      <c r="BX27" s="7"/>
      <c r="BY27" s="7" t="s">
        <v>990</v>
      </c>
      <c r="BZ27" s="7" t="s">
        <v>994</v>
      </c>
    </row>
    <row r="28" spans="1:78" ht="63.75" x14ac:dyDescent="0.2">
      <c r="A28" s="6" t="s">
        <v>931</v>
      </c>
      <c r="B28" s="7" t="s">
        <v>972</v>
      </c>
      <c r="C28" s="7" t="s">
        <v>1156</v>
      </c>
      <c r="D28" s="7" t="s">
        <v>1003</v>
      </c>
      <c r="F28" s="7" t="s">
        <v>1166</v>
      </c>
      <c r="I28" s="7" t="s">
        <v>972</v>
      </c>
      <c r="J28" s="7">
        <v>4</v>
      </c>
      <c r="K28" s="7" t="s">
        <v>972</v>
      </c>
      <c r="M28" s="7" t="s">
        <v>975</v>
      </c>
      <c r="N28" s="7" t="s">
        <v>972</v>
      </c>
      <c r="P28" s="7" t="s">
        <v>977</v>
      </c>
      <c r="R28" s="7" t="s">
        <v>972</v>
      </c>
      <c r="S28" s="7">
        <v>1</v>
      </c>
      <c r="T28" s="7" t="s">
        <v>978</v>
      </c>
      <c r="V28" s="7" t="s">
        <v>3544</v>
      </c>
      <c r="X28" s="7">
        <v>0</v>
      </c>
      <c r="Y28" s="7" t="s">
        <v>983</v>
      </c>
      <c r="AE28" s="7" t="s">
        <v>983</v>
      </c>
      <c r="AF28" s="7" t="s">
        <v>983</v>
      </c>
      <c r="AH28" s="7" t="s">
        <v>983</v>
      </c>
      <c r="AP28" s="7" t="s">
        <v>976</v>
      </c>
      <c r="AR28" s="7" t="s">
        <v>976</v>
      </c>
      <c r="AT28" s="7" t="s">
        <v>990</v>
      </c>
      <c r="AU28" s="7" t="s">
        <v>1066</v>
      </c>
      <c r="AV28" s="7" t="s">
        <v>976</v>
      </c>
    </row>
    <row r="29" spans="1:78" ht="63.75" x14ac:dyDescent="0.2">
      <c r="A29" s="6" t="s">
        <v>966</v>
      </c>
      <c r="B29" s="7" t="s">
        <v>972</v>
      </c>
      <c r="C29" s="7" t="s">
        <v>1156</v>
      </c>
      <c r="D29" s="7" t="s">
        <v>1157</v>
      </c>
      <c r="I29" s="7" t="s">
        <v>976</v>
      </c>
      <c r="M29" s="7" t="s">
        <v>975</v>
      </c>
      <c r="N29" s="7" t="s">
        <v>972</v>
      </c>
      <c r="P29" s="7" t="s">
        <v>977</v>
      </c>
      <c r="R29" s="7" t="s">
        <v>972</v>
      </c>
      <c r="S29" s="7">
        <v>1</v>
      </c>
      <c r="T29" s="7" t="s">
        <v>978</v>
      </c>
      <c r="V29" s="7" t="s">
        <v>3544</v>
      </c>
      <c r="X29" s="7">
        <v>0</v>
      </c>
      <c r="Y29" s="7" t="s">
        <v>982</v>
      </c>
      <c r="AE29" s="7" t="s">
        <v>983</v>
      </c>
      <c r="AF29" s="7" t="s">
        <v>983</v>
      </c>
      <c r="AH29" s="7" t="s">
        <v>983</v>
      </c>
      <c r="AP29" s="7" t="s">
        <v>976</v>
      </c>
      <c r="AR29" s="7" t="s">
        <v>976</v>
      </c>
      <c r="AT29" s="7" t="s">
        <v>1168</v>
      </c>
      <c r="AV29" s="7" t="s">
        <v>976</v>
      </c>
    </row>
    <row r="30" spans="1:78" ht="25.5" x14ac:dyDescent="0.2">
      <c r="A30" s="6" t="s">
        <v>917</v>
      </c>
      <c r="B30" s="7" t="s">
        <v>972</v>
      </c>
      <c r="C30" s="7" t="s">
        <v>1156</v>
      </c>
      <c r="D30" s="7" t="s">
        <v>1003</v>
      </c>
      <c r="F30" s="7" t="s">
        <v>1166</v>
      </c>
      <c r="I30" s="7" t="s">
        <v>972</v>
      </c>
      <c r="J30" s="7">
        <v>4</v>
      </c>
      <c r="K30" s="7" t="s">
        <v>972</v>
      </c>
      <c r="M30" s="7" t="s">
        <v>975</v>
      </c>
      <c r="N30" s="7" t="s">
        <v>972</v>
      </c>
      <c r="P30" s="7" t="s">
        <v>977</v>
      </c>
      <c r="R30" s="7" t="s">
        <v>972</v>
      </c>
      <c r="S30" s="7">
        <v>0</v>
      </c>
      <c r="T30" s="7" t="s">
        <v>978</v>
      </c>
      <c r="V30" s="7" t="s">
        <v>990</v>
      </c>
      <c r="W30" s="7" t="s">
        <v>1174</v>
      </c>
      <c r="X30" s="7">
        <v>0</v>
      </c>
      <c r="Y30" s="7" t="s">
        <v>983</v>
      </c>
      <c r="AE30" s="7" t="s">
        <v>983</v>
      </c>
      <c r="AF30" s="7" t="s">
        <v>983</v>
      </c>
      <c r="AH30" s="7" t="s">
        <v>983</v>
      </c>
      <c r="AO30" s="24">
        <v>1383</v>
      </c>
      <c r="AP30" s="7" t="s">
        <v>976</v>
      </c>
      <c r="AR30" s="7" t="s">
        <v>976</v>
      </c>
      <c r="AT30" s="7" t="s">
        <v>1163</v>
      </c>
      <c r="AV30" s="7" t="s">
        <v>972</v>
      </c>
      <c r="AW30" s="7" t="s">
        <v>1158</v>
      </c>
      <c r="AY30" s="7" t="s">
        <v>1027</v>
      </c>
      <c r="AZ30" s="7" t="s">
        <v>977</v>
      </c>
      <c r="BB30" s="7" t="s">
        <v>972</v>
      </c>
      <c r="BC30" s="7">
        <v>0</v>
      </c>
      <c r="BF30" s="7" t="s">
        <v>1175</v>
      </c>
      <c r="BH30" s="7">
        <v>0</v>
      </c>
      <c r="BI30" s="7" t="s">
        <v>993</v>
      </c>
      <c r="BJ30" s="7" t="s">
        <v>1160</v>
      </c>
      <c r="BM30" s="7">
        <v>100</v>
      </c>
      <c r="BW30" s="7" t="s">
        <v>976</v>
      </c>
      <c r="BY30" s="7" t="s">
        <v>990</v>
      </c>
      <c r="BZ30" s="7" t="s">
        <v>1176</v>
      </c>
    </row>
    <row r="31" spans="1:78" s="14" customFormat="1" ht="51" x14ac:dyDescent="0.2">
      <c r="A31" s="6" t="s">
        <v>923</v>
      </c>
      <c r="B31" s="7" t="s">
        <v>972</v>
      </c>
      <c r="C31" s="7" t="s">
        <v>1156</v>
      </c>
      <c r="D31" s="7" t="s">
        <v>990</v>
      </c>
      <c r="E31" s="7" t="s">
        <v>1185</v>
      </c>
      <c r="F31" s="7"/>
      <c r="G31" s="7"/>
      <c r="H31" s="7"/>
      <c r="I31" s="7" t="s">
        <v>972</v>
      </c>
      <c r="J31" s="7">
        <v>2</v>
      </c>
      <c r="K31" s="7" t="s">
        <v>972</v>
      </c>
      <c r="L31" s="7"/>
      <c r="M31" s="7" t="s">
        <v>975</v>
      </c>
      <c r="N31" s="7" t="s">
        <v>976</v>
      </c>
      <c r="O31" s="7" t="s">
        <v>3543</v>
      </c>
      <c r="P31" s="7" t="s">
        <v>977</v>
      </c>
      <c r="Q31" s="7"/>
      <c r="R31" s="7" t="s">
        <v>972</v>
      </c>
      <c r="S31" s="7">
        <v>1</v>
      </c>
      <c r="T31" s="7" t="s">
        <v>1015</v>
      </c>
      <c r="U31" s="7"/>
      <c r="V31" s="7" t="s">
        <v>3559</v>
      </c>
      <c r="W31" s="7"/>
      <c r="X31" s="7">
        <v>0</v>
      </c>
      <c r="Y31" s="7" t="s">
        <v>982</v>
      </c>
      <c r="Z31" s="7"/>
      <c r="AA31" s="7"/>
      <c r="AB31" s="7"/>
      <c r="AC31" s="7"/>
      <c r="AD31" s="7"/>
      <c r="AE31" s="7" t="s">
        <v>983</v>
      </c>
      <c r="AF31" s="7" t="s">
        <v>983</v>
      </c>
      <c r="AG31" s="7" t="s">
        <v>983</v>
      </c>
      <c r="AH31" s="7" t="s">
        <v>983</v>
      </c>
      <c r="AI31" s="7"/>
      <c r="AJ31" s="7"/>
      <c r="AK31" s="7"/>
      <c r="AL31" s="7"/>
      <c r="AM31" s="7"/>
      <c r="AN31" s="7"/>
      <c r="AO31" s="24">
        <v>20000</v>
      </c>
      <c r="AP31" s="7" t="s">
        <v>976</v>
      </c>
      <c r="AQ31" s="7"/>
      <c r="AR31" s="7" t="s">
        <v>976</v>
      </c>
      <c r="AS31" s="7"/>
      <c r="AT31" s="7" t="s">
        <v>1168</v>
      </c>
      <c r="AU31" s="7"/>
      <c r="AV31" s="7" t="s">
        <v>972</v>
      </c>
      <c r="AW31" s="7" t="s">
        <v>1158</v>
      </c>
      <c r="AX31" s="7"/>
      <c r="AY31" s="7" t="s">
        <v>1027</v>
      </c>
      <c r="AZ31" s="7" t="s">
        <v>977</v>
      </c>
      <c r="BA31" s="7"/>
      <c r="BB31" s="7" t="s">
        <v>972</v>
      </c>
      <c r="BC31" s="7">
        <v>1</v>
      </c>
      <c r="BD31" s="7"/>
      <c r="BE31" s="7"/>
      <c r="BF31" s="7" t="s">
        <v>1159</v>
      </c>
      <c r="BG31" s="7"/>
      <c r="BH31" s="7">
        <v>0</v>
      </c>
      <c r="BI31" s="7" t="s">
        <v>982</v>
      </c>
      <c r="BJ31" s="7"/>
      <c r="BK31" s="7"/>
      <c r="BL31" s="7"/>
      <c r="BM31" s="7"/>
      <c r="BN31" s="7"/>
      <c r="BO31" s="7"/>
      <c r="BP31" s="7"/>
      <c r="BQ31" s="7"/>
      <c r="BR31" s="7"/>
      <c r="BS31" s="7"/>
      <c r="BT31" s="7"/>
      <c r="BU31" s="7"/>
      <c r="BV31" s="7"/>
      <c r="BW31" s="7" t="s">
        <v>976</v>
      </c>
      <c r="BX31" s="7"/>
      <c r="BY31" s="7" t="s">
        <v>990</v>
      </c>
      <c r="BZ31" s="7" t="s">
        <v>1186</v>
      </c>
    </row>
    <row r="32" spans="1:78" ht="38.25" x14ac:dyDescent="0.2">
      <c r="A32" s="14" t="s">
        <v>935</v>
      </c>
      <c r="B32" s="15" t="s">
        <v>972</v>
      </c>
      <c r="C32" s="15" t="s">
        <v>1156</v>
      </c>
      <c r="D32" s="15" t="s">
        <v>1003</v>
      </c>
      <c r="E32" s="15"/>
      <c r="F32" s="15" t="s">
        <v>1166</v>
      </c>
      <c r="G32" s="15"/>
      <c r="H32" s="15"/>
      <c r="I32" s="15" t="s">
        <v>972</v>
      </c>
      <c r="J32" s="15">
        <v>2</v>
      </c>
      <c r="K32" s="15" t="s">
        <v>972</v>
      </c>
      <c r="L32" s="15"/>
      <c r="M32" s="15" t="s">
        <v>975</v>
      </c>
      <c r="N32" s="15" t="s">
        <v>972</v>
      </c>
      <c r="O32" s="15"/>
      <c r="P32" s="15" t="s">
        <v>977</v>
      </c>
      <c r="Q32" s="15"/>
      <c r="R32" s="15" t="s">
        <v>972</v>
      </c>
      <c r="S32" s="15">
        <v>0</v>
      </c>
      <c r="T32" s="15" t="s">
        <v>978</v>
      </c>
      <c r="U32" s="15"/>
      <c r="V32" s="15" t="s">
        <v>3561</v>
      </c>
      <c r="W32" s="15"/>
      <c r="X32" s="15">
        <v>0</v>
      </c>
      <c r="Y32" s="15" t="s">
        <v>982</v>
      </c>
      <c r="Z32" s="15"/>
      <c r="AA32" s="15"/>
      <c r="AB32" s="15"/>
      <c r="AC32" s="15"/>
      <c r="AD32" s="15"/>
      <c r="AE32" s="15" t="s">
        <v>983</v>
      </c>
      <c r="AF32" s="15" t="s">
        <v>983</v>
      </c>
      <c r="AG32" s="15"/>
      <c r="AH32" s="15" t="s">
        <v>983</v>
      </c>
      <c r="AI32" s="15"/>
      <c r="AJ32" s="15"/>
      <c r="AK32" s="15"/>
      <c r="AL32" s="15"/>
      <c r="AM32" s="15"/>
      <c r="AN32" s="15"/>
      <c r="AO32" s="25"/>
      <c r="AP32" s="15" t="s">
        <v>976</v>
      </c>
      <c r="AQ32" s="15"/>
      <c r="AR32" s="15" t="s">
        <v>976</v>
      </c>
      <c r="AS32" s="15"/>
      <c r="AT32" s="15" t="s">
        <v>1163</v>
      </c>
      <c r="AU32" s="15"/>
      <c r="AV32" s="15" t="s">
        <v>972</v>
      </c>
      <c r="AW32" s="15" t="s">
        <v>1158</v>
      </c>
      <c r="AX32" s="15"/>
      <c r="AY32" s="15" t="s">
        <v>1027</v>
      </c>
      <c r="AZ32" s="15" t="s">
        <v>977</v>
      </c>
      <c r="BA32" s="15"/>
      <c r="BB32" s="15" t="s">
        <v>972</v>
      </c>
      <c r="BC32" s="15">
        <v>0</v>
      </c>
      <c r="BD32" s="15"/>
      <c r="BE32" s="15"/>
      <c r="BF32" s="15" t="s">
        <v>1159</v>
      </c>
      <c r="BG32" s="15"/>
      <c r="BH32" s="15">
        <v>0</v>
      </c>
      <c r="BI32" s="15" t="s">
        <v>982</v>
      </c>
      <c r="BJ32" s="15"/>
      <c r="BK32" s="15"/>
      <c r="BL32" s="15"/>
      <c r="BM32" s="15"/>
      <c r="BN32" s="15"/>
      <c r="BO32" s="15"/>
      <c r="BP32" s="15"/>
      <c r="BQ32" s="15"/>
      <c r="BR32" s="15"/>
      <c r="BS32" s="15"/>
      <c r="BT32" s="15"/>
      <c r="BU32" s="15"/>
      <c r="BV32" s="15"/>
      <c r="BW32" s="15" t="s">
        <v>976</v>
      </c>
      <c r="BX32" s="15"/>
      <c r="BY32" s="15" t="s">
        <v>990</v>
      </c>
      <c r="BZ32" s="15" t="s">
        <v>1207</v>
      </c>
    </row>
    <row r="33" spans="1:78" ht="51" x14ac:dyDescent="0.2">
      <c r="A33" s="6" t="s">
        <v>915</v>
      </c>
      <c r="B33" s="7" t="s">
        <v>972</v>
      </c>
      <c r="C33" s="7" t="s">
        <v>1156</v>
      </c>
      <c r="D33" s="7" t="s">
        <v>1003</v>
      </c>
      <c r="F33" s="7" t="s">
        <v>1166</v>
      </c>
      <c r="I33" s="7" t="s">
        <v>976</v>
      </c>
      <c r="M33" s="7" t="s">
        <v>975</v>
      </c>
      <c r="N33" s="7" t="s">
        <v>972</v>
      </c>
      <c r="P33" s="7" t="s">
        <v>977</v>
      </c>
      <c r="R33" s="7" t="s">
        <v>972</v>
      </c>
      <c r="S33" s="7">
        <v>1</v>
      </c>
      <c r="T33" s="7" t="s">
        <v>978</v>
      </c>
      <c r="V33" s="7" t="s">
        <v>3550</v>
      </c>
      <c r="X33" s="7">
        <v>1</v>
      </c>
      <c r="Y33" s="7" t="s">
        <v>982</v>
      </c>
      <c r="AE33" s="7" t="s">
        <v>982</v>
      </c>
      <c r="AF33" s="7" t="s">
        <v>982</v>
      </c>
      <c r="AH33" s="7" t="s">
        <v>982</v>
      </c>
      <c r="AP33" s="7" t="s">
        <v>976</v>
      </c>
      <c r="AR33" s="7" t="s">
        <v>976</v>
      </c>
      <c r="AT33" s="7" t="s">
        <v>1163</v>
      </c>
      <c r="AV33" s="7" t="s">
        <v>1023</v>
      </c>
    </row>
    <row r="34" spans="1:78" ht="63.75" x14ac:dyDescent="0.2">
      <c r="A34" s="6" t="s">
        <v>945</v>
      </c>
      <c r="B34" s="7" t="s">
        <v>972</v>
      </c>
      <c r="C34" s="7" t="s">
        <v>1156</v>
      </c>
      <c r="D34" s="7" t="s">
        <v>1003</v>
      </c>
      <c r="F34" s="7" t="s">
        <v>1166</v>
      </c>
      <c r="I34" s="7" t="s">
        <v>972</v>
      </c>
      <c r="J34" s="7">
        <v>3</v>
      </c>
      <c r="K34" s="7" t="s">
        <v>972</v>
      </c>
      <c r="M34" s="7" t="s">
        <v>975</v>
      </c>
      <c r="N34" s="7" t="s">
        <v>972</v>
      </c>
      <c r="P34" s="7" t="s">
        <v>977</v>
      </c>
      <c r="R34" s="7" t="s">
        <v>972</v>
      </c>
      <c r="T34" s="7" t="s">
        <v>978</v>
      </c>
      <c r="V34" s="7" t="s">
        <v>3544</v>
      </c>
      <c r="X34" s="7">
        <v>0</v>
      </c>
      <c r="Y34" s="7" t="s">
        <v>982</v>
      </c>
      <c r="AE34" s="7" t="s">
        <v>982</v>
      </c>
      <c r="AF34" s="7" t="s">
        <v>982</v>
      </c>
      <c r="AH34" s="7" t="s">
        <v>982</v>
      </c>
      <c r="AP34" s="7" t="s">
        <v>976</v>
      </c>
      <c r="AR34" s="7" t="s">
        <v>976</v>
      </c>
      <c r="AT34" s="7" t="s">
        <v>1168</v>
      </c>
      <c r="AV34" s="7" t="s">
        <v>972</v>
      </c>
      <c r="AW34" s="7" t="s">
        <v>1158</v>
      </c>
      <c r="AY34" s="7" t="s">
        <v>1027</v>
      </c>
      <c r="AZ34" s="7" t="s">
        <v>977</v>
      </c>
      <c r="BB34" s="7" t="s">
        <v>972</v>
      </c>
      <c r="BF34" s="7" t="s">
        <v>1159</v>
      </c>
      <c r="BH34" s="7">
        <v>0</v>
      </c>
      <c r="BI34" s="7" t="s">
        <v>982</v>
      </c>
      <c r="BW34" s="7" t="s">
        <v>976</v>
      </c>
      <c r="BY34" s="7" t="s">
        <v>990</v>
      </c>
      <c r="BZ34" s="7" t="s">
        <v>1227</v>
      </c>
    </row>
    <row r="35" spans="1:78" ht="63.75" x14ac:dyDescent="0.2">
      <c r="A35" s="6" t="s">
        <v>924</v>
      </c>
      <c r="B35" s="7" t="s">
        <v>972</v>
      </c>
      <c r="C35" s="7" t="s">
        <v>1156</v>
      </c>
      <c r="D35" s="7" t="s">
        <v>1003</v>
      </c>
      <c r="F35" s="7" t="s">
        <v>1166</v>
      </c>
      <c r="I35" s="7" t="s">
        <v>976</v>
      </c>
      <c r="M35" s="7" t="s">
        <v>975</v>
      </c>
      <c r="N35" s="7" t="s">
        <v>972</v>
      </c>
      <c r="P35" s="7" t="s">
        <v>977</v>
      </c>
      <c r="R35" s="7" t="s">
        <v>976</v>
      </c>
      <c r="T35" s="7" t="s">
        <v>978</v>
      </c>
      <c r="V35" s="7" t="s">
        <v>3544</v>
      </c>
      <c r="X35" s="7">
        <v>0</v>
      </c>
      <c r="Y35" s="7" t="s">
        <v>982</v>
      </c>
      <c r="AE35" s="7" t="s">
        <v>982</v>
      </c>
      <c r="AF35" s="7" t="s">
        <v>982</v>
      </c>
      <c r="AH35" s="7" t="s">
        <v>982</v>
      </c>
      <c r="AP35" s="7" t="s">
        <v>976</v>
      </c>
      <c r="AR35" s="7" t="s">
        <v>976</v>
      </c>
      <c r="AT35" s="7" t="s">
        <v>987</v>
      </c>
      <c r="AV35" s="7" t="s">
        <v>972</v>
      </c>
      <c r="AW35" s="7" t="s">
        <v>990</v>
      </c>
      <c r="AX35" s="7" t="s">
        <v>1187</v>
      </c>
      <c r="AY35" s="7" t="s">
        <v>1027</v>
      </c>
      <c r="AZ35" s="7" t="s">
        <v>977</v>
      </c>
      <c r="BB35" s="7" t="s">
        <v>976</v>
      </c>
      <c r="BF35" s="7" t="s">
        <v>1188</v>
      </c>
      <c r="BH35" s="7">
        <v>0</v>
      </c>
      <c r="BI35" s="7" t="s">
        <v>982</v>
      </c>
      <c r="BW35" s="7" t="s">
        <v>976</v>
      </c>
      <c r="BY35" s="7" t="s">
        <v>990</v>
      </c>
      <c r="BZ35" s="7" t="s">
        <v>1189</v>
      </c>
    </row>
    <row r="36" spans="1:78" ht="25.5" x14ac:dyDescent="0.2">
      <c r="A36" s="6" t="s">
        <v>925</v>
      </c>
      <c r="B36" s="7" t="s">
        <v>972</v>
      </c>
      <c r="C36" s="7" t="s">
        <v>1156</v>
      </c>
      <c r="D36" s="7" t="s">
        <v>1157</v>
      </c>
      <c r="I36" s="7" t="s">
        <v>972</v>
      </c>
      <c r="J36" s="7">
        <v>5</v>
      </c>
      <c r="K36" s="7" t="s">
        <v>972</v>
      </c>
      <c r="M36" s="7" t="s">
        <v>975</v>
      </c>
      <c r="N36" s="7" t="s">
        <v>972</v>
      </c>
      <c r="P36" s="7" t="s">
        <v>977</v>
      </c>
      <c r="R36" s="7" t="s">
        <v>972</v>
      </c>
      <c r="T36" s="7" t="s">
        <v>978</v>
      </c>
      <c r="V36" s="7" t="s">
        <v>990</v>
      </c>
      <c r="W36" s="7" t="s">
        <v>1190</v>
      </c>
      <c r="X36" s="7">
        <v>90</v>
      </c>
      <c r="Y36" s="7" t="s">
        <v>983</v>
      </c>
      <c r="AE36" s="7" t="s">
        <v>983</v>
      </c>
      <c r="AF36" s="7" t="s">
        <v>983</v>
      </c>
      <c r="AH36" s="7" t="s">
        <v>983</v>
      </c>
      <c r="AP36" s="7" t="s">
        <v>976</v>
      </c>
      <c r="AR36" s="7" t="s">
        <v>976</v>
      </c>
      <c r="AT36" s="7" t="s">
        <v>1168</v>
      </c>
      <c r="AV36" s="7" t="s">
        <v>976</v>
      </c>
    </row>
    <row r="37" spans="1:78" ht="63.75" x14ac:dyDescent="0.2">
      <c r="A37" s="6" t="s">
        <v>3376</v>
      </c>
      <c r="B37" s="10" t="s">
        <v>972</v>
      </c>
      <c r="C37" s="10" t="s">
        <v>1156</v>
      </c>
      <c r="D37" s="10" t="s">
        <v>1003</v>
      </c>
      <c r="E37" s="10"/>
      <c r="F37" s="10" t="s">
        <v>1166</v>
      </c>
      <c r="G37" s="10"/>
      <c r="H37" s="10"/>
      <c r="I37" s="10" t="s">
        <v>972</v>
      </c>
      <c r="J37" s="10">
        <v>6</v>
      </c>
      <c r="K37" s="10" t="s">
        <v>972</v>
      </c>
      <c r="L37" s="10"/>
      <c r="M37" s="10" t="s">
        <v>975</v>
      </c>
      <c r="N37" s="10" t="s">
        <v>972</v>
      </c>
      <c r="O37" s="10"/>
      <c r="P37" s="10" t="s">
        <v>977</v>
      </c>
      <c r="Q37" s="10"/>
      <c r="R37" s="10" t="s">
        <v>972</v>
      </c>
      <c r="S37" s="10">
        <v>20</v>
      </c>
      <c r="T37" s="10" t="s">
        <v>978</v>
      </c>
      <c r="U37" s="10"/>
      <c r="V37" s="10" t="s">
        <v>3547</v>
      </c>
      <c r="W37" s="10"/>
      <c r="X37" s="10">
        <v>0</v>
      </c>
      <c r="Y37" s="10" t="s">
        <v>983</v>
      </c>
      <c r="Z37" s="10"/>
      <c r="AA37" s="10"/>
      <c r="AB37" s="10"/>
      <c r="AC37" s="10"/>
      <c r="AD37" s="10"/>
      <c r="AE37" s="10" t="s">
        <v>983</v>
      </c>
      <c r="AF37" s="10" t="s">
        <v>983</v>
      </c>
      <c r="AG37" s="10"/>
      <c r="AH37" s="10" t="s">
        <v>983</v>
      </c>
      <c r="AI37" s="10"/>
      <c r="AJ37" s="10"/>
      <c r="AK37" s="10"/>
      <c r="AL37" s="10"/>
      <c r="AM37" s="10"/>
      <c r="AN37" s="10"/>
      <c r="AO37" s="26"/>
      <c r="AP37" s="10" t="s">
        <v>976</v>
      </c>
      <c r="AQ37" s="10"/>
      <c r="AR37" s="10" t="s">
        <v>976</v>
      </c>
      <c r="AS37" s="10"/>
      <c r="AT37" s="10" t="s">
        <v>1163</v>
      </c>
      <c r="AU37" s="10"/>
      <c r="AV37" s="10" t="s">
        <v>976</v>
      </c>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row>
    <row r="38" spans="1:78" ht="63.75" x14ac:dyDescent="0.2">
      <c r="A38" s="6" t="s">
        <v>952</v>
      </c>
      <c r="B38" s="7" t="s">
        <v>972</v>
      </c>
      <c r="C38" s="7" t="s">
        <v>1156</v>
      </c>
      <c r="D38" s="7" t="s">
        <v>1003</v>
      </c>
      <c r="F38" s="7" t="s">
        <v>1166</v>
      </c>
      <c r="I38" s="7" t="s">
        <v>972</v>
      </c>
      <c r="J38" s="7">
        <v>4</v>
      </c>
      <c r="K38" s="7" t="s">
        <v>972</v>
      </c>
      <c r="M38" s="7" t="s">
        <v>975</v>
      </c>
      <c r="N38" s="7" t="s">
        <v>972</v>
      </c>
      <c r="P38" s="7" t="s">
        <v>977</v>
      </c>
      <c r="R38" s="7" t="s">
        <v>972</v>
      </c>
      <c r="S38" s="7">
        <v>0</v>
      </c>
      <c r="T38" s="7" t="s">
        <v>978</v>
      </c>
      <c r="V38" s="7" t="s">
        <v>3544</v>
      </c>
      <c r="X38" s="7">
        <v>0</v>
      </c>
      <c r="Y38" s="7" t="s">
        <v>993</v>
      </c>
      <c r="Z38" s="7" t="s">
        <v>994</v>
      </c>
      <c r="AD38" s="7" t="s">
        <v>1236</v>
      </c>
      <c r="AE38" s="7" t="s">
        <v>993</v>
      </c>
      <c r="AF38" s="7" t="s">
        <v>993</v>
      </c>
      <c r="AH38" s="7" t="s">
        <v>993</v>
      </c>
      <c r="AO38" s="24">
        <v>300</v>
      </c>
      <c r="AP38" s="7" t="s">
        <v>976</v>
      </c>
      <c r="AR38" s="7" t="s">
        <v>976</v>
      </c>
      <c r="AT38" s="7" t="s">
        <v>990</v>
      </c>
      <c r="AU38" s="7" t="s">
        <v>1237</v>
      </c>
      <c r="AV38" s="7" t="s">
        <v>972</v>
      </c>
      <c r="AW38" s="7" t="s">
        <v>1164</v>
      </c>
      <c r="AY38" s="7" t="s">
        <v>975</v>
      </c>
      <c r="AZ38" s="7" t="s">
        <v>977</v>
      </c>
      <c r="BB38" s="7" t="s">
        <v>972</v>
      </c>
      <c r="BC38" s="7">
        <v>0</v>
      </c>
      <c r="BD38" s="7" t="s">
        <v>978</v>
      </c>
      <c r="BF38" s="7" t="s">
        <v>1180</v>
      </c>
      <c r="BH38" s="7">
        <v>0</v>
      </c>
      <c r="BI38" s="7" t="s">
        <v>993</v>
      </c>
      <c r="BJ38" s="7" t="s">
        <v>994</v>
      </c>
      <c r="BN38" s="7" t="s">
        <v>1238</v>
      </c>
      <c r="BO38" s="7" t="s">
        <v>993</v>
      </c>
      <c r="BP38" s="7" t="s">
        <v>993</v>
      </c>
      <c r="BR38" s="7" t="s">
        <v>993</v>
      </c>
      <c r="BW38" s="7" t="s">
        <v>976</v>
      </c>
      <c r="BY38" s="7" t="s">
        <v>990</v>
      </c>
      <c r="BZ38" s="7" t="s">
        <v>1237</v>
      </c>
    </row>
    <row r="39" spans="1:78" ht="25.5" x14ac:dyDescent="0.2">
      <c r="A39" s="6" t="s">
        <v>921</v>
      </c>
      <c r="B39" s="7" t="s">
        <v>972</v>
      </c>
      <c r="C39" s="7" t="s">
        <v>1156</v>
      </c>
      <c r="I39" s="7" t="s">
        <v>976</v>
      </c>
      <c r="M39" s="7" t="s">
        <v>975</v>
      </c>
      <c r="N39" s="7" t="s">
        <v>972</v>
      </c>
      <c r="P39" s="7" t="s">
        <v>977</v>
      </c>
      <c r="R39" s="7" t="s">
        <v>976</v>
      </c>
      <c r="T39" s="7" t="s">
        <v>978</v>
      </c>
      <c r="X39" s="7">
        <v>0</v>
      </c>
      <c r="AP39" s="7" t="s">
        <v>976</v>
      </c>
      <c r="AR39" s="7" t="s">
        <v>976</v>
      </c>
      <c r="AT39" s="7" t="s">
        <v>990</v>
      </c>
      <c r="AU39" s="7" t="s">
        <v>1182</v>
      </c>
      <c r="AV39" s="7" t="s">
        <v>976</v>
      </c>
    </row>
    <row r="40" spans="1:78" ht="51" x14ac:dyDescent="0.2">
      <c r="A40" s="14" t="s">
        <v>958</v>
      </c>
      <c r="B40" s="15" t="s">
        <v>972</v>
      </c>
      <c r="C40" s="15" t="s">
        <v>1156</v>
      </c>
      <c r="D40" s="15" t="s">
        <v>1003</v>
      </c>
      <c r="E40" s="15"/>
      <c r="F40" s="15" t="s">
        <v>1166</v>
      </c>
      <c r="G40" s="15"/>
      <c r="H40" s="15"/>
      <c r="I40" s="15" t="s">
        <v>972</v>
      </c>
      <c r="J40" s="15">
        <v>5</v>
      </c>
      <c r="K40" s="15" t="s">
        <v>972</v>
      </c>
      <c r="L40" s="15"/>
      <c r="M40" s="15" t="s">
        <v>975</v>
      </c>
      <c r="N40" s="15" t="s">
        <v>972</v>
      </c>
      <c r="O40" s="15"/>
      <c r="P40" s="15" t="s">
        <v>977</v>
      </c>
      <c r="Q40" s="15"/>
      <c r="R40" s="15" t="s">
        <v>976</v>
      </c>
      <c r="S40" s="15"/>
      <c r="T40" s="15" t="s">
        <v>1241</v>
      </c>
      <c r="U40" s="15"/>
      <c r="V40" s="15" t="s">
        <v>3550</v>
      </c>
      <c r="W40" s="15"/>
      <c r="X40" s="15">
        <v>0</v>
      </c>
      <c r="Y40" s="15" t="s">
        <v>983</v>
      </c>
      <c r="Z40" s="15"/>
      <c r="AA40" s="15"/>
      <c r="AB40" s="15"/>
      <c r="AC40" s="15"/>
      <c r="AD40" s="15"/>
      <c r="AE40" s="15" t="s">
        <v>983</v>
      </c>
      <c r="AF40" s="15" t="s">
        <v>983</v>
      </c>
      <c r="AG40" s="15"/>
      <c r="AH40" s="15" t="s">
        <v>983</v>
      </c>
      <c r="AI40" s="15" t="s">
        <v>983</v>
      </c>
      <c r="AJ40" s="15"/>
      <c r="AK40" s="15"/>
      <c r="AL40" s="15"/>
      <c r="AM40" s="15">
        <v>37.82</v>
      </c>
      <c r="AN40" s="15">
        <v>113.46</v>
      </c>
      <c r="AO40" s="25">
        <v>1362</v>
      </c>
      <c r="AP40" s="15" t="s">
        <v>976</v>
      </c>
      <c r="AQ40" s="15"/>
      <c r="AR40" s="15" t="s">
        <v>976</v>
      </c>
      <c r="AS40" s="15"/>
      <c r="AT40" s="15" t="s">
        <v>1168</v>
      </c>
      <c r="AU40" s="15"/>
      <c r="AV40" s="15" t="s">
        <v>976</v>
      </c>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row>
    <row r="41" spans="1:78" ht="63.75" x14ac:dyDescent="0.2">
      <c r="A41" s="6" t="s">
        <v>962</v>
      </c>
      <c r="B41" s="7" t="s">
        <v>972</v>
      </c>
      <c r="C41" s="7" t="s">
        <v>1156</v>
      </c>
      <c r="D41" s="7" t="s">
        <v>990</v>
      </c>
      <c r="E41" s="7" t="s">
        <v>1247</v>
      </c>
      <c r="I41" s="7" t="s">
        <v>972</v>
      </c>
      <c r="J41" s="7">
        <v>4</v>
      </c>
      <c r="K41" s="7" t="s">
        <v>972</v>
      </c>
      <c r="M41" s="7" t="s">
        <v>1027</v>
      </c>
      <c r="P41" s="7" t="s">
        <v>1248</v>
      </c>
      <c r="R41" s="7" t="s">
        <v>976</v>
      </c>
      <c r="V41" s="7" t="s">
        <v>3544</v>
      </c>
      <c r="X41" s="7">
        <v>0</v>
      </c>
      <c r="Y41" s="7" t="s">
        <v>982</v>
      </c>
      <c r="AP41" s="7" t="s">
        <v>976</v>
      </c>
      <c r="AR41" s="7" t="s">
        <v>976</v>
      </c>
      <c r="AT41" s="7" t="s">
        <v>987</v>
      </c>
      <c r="AV41" s="7" t="s">
        <v>972</v>
      </c>
      <c r="AW41" s="7" t="s">
        <v>990</v>
      </c>
      <c r="AX41" s="7" t="s">
        <v>1249</v>
      </c>
      <c r="AY41" s="7" t="s">
        <v>1027</v>
      </c>
      <c r="AZ41" s="7" t="s">
        <v>1248</v>
      </c>
      <c r="BB41" s="7" t="s">
        <v>976</v>
      </c>
      <c r="BF41" s="7" t="s">
        <v>1180</v>
      </c>
      <c r="BH41" s="7">
        <v>0</v>
      </c>
      <c r="BI41" s="7" t="s">
        <v>982</v>
      </c>
      <c r="BW41" s="7" t="s">
        <v>976</v>
      </c>
      <c r="BY41" s="7" t="s">
        <v>990</v>
      </c>
      <c r="BZ41" s="7" t="s">
        <v>1249</v>
      </c>
    </row>
    <row r="42" spans="1:78" ht="51" x14ac:dyDescent="0.2">
      <c r="A42" s="6" t="s">
        <v>957</v>
      </c>
      <c r="B42" s="7" t="s">
        <v>972</v>
      </c>
      <c r="C42" s="7" t="s">
        <v>1156</v>
      </c>
      <c r="D42" s="7" t="s">
        <v>1003</v>
      </c>
      <c r="F42" s="7" t="s">
        <v>1166</v>
      </c>
      <c r="I42" s="7" t="s">
        <v>976</v>
      </c>
      <c r="M42" s="7" t="s">
        <v>975</v>
      </c>
      <c r="N42" s="7" t="s">
        <v>972</v>
      </c>
      <c r="P42" s="7" t="s">
        <v>977</v>
      </c>
      <c r="R42" s="7" t="s">
        <v>972</v>
      </c>
      <c r="S42" s="7">
        <v>1</v>
      </c>
      <c r="T42" s="7" t="s">
        <v>978</v>
      </c>
      <c r="V42" s="7" t="s">
        <v>3553</v>
      </c>
      <c r="Y42" s="7" t="s">
        <v>982</v>
      </c>
      <c r="AE42" s="7" t="s">
        <v>982</v>
      </c>
      <c r="AF42" s="7" t="s">
        <v>982</v>
      </c>
      <c r="AH42" s="7" t="s">
        <v>982</v>
      </c>
      <c r="AO42" s="24">
        <v>1000</v>
      </c>
      <c r="AP42" s="7" t="s">
        <v>976</v>
      </c>
      <c r="AR42" s="7" t="s">
        <v>976</v>
      </c>
      <c r="AT42" s="7" t="s">
        <v>990</v>
      </c>
      <c r="AU42" s="7" t="s">
        <v>1066</v>
      </c>
      <c r="AV42" s="7" t="s">
        <v>972</v>
      </c>
      <c r="AW42" s="7" t="s">
        <v>1158</v>
      </c>
      <c r="AY42" s="7" t="s">
        <v>1027</v>
      </c>
      <c r="AZ42" s="7" t="s">
        <v>977</v>
      </c>
      <c r="BB42" s="7" t="s">
        <v>972</v>
      </c>
      <c r="BC42" s="7">
        <v>1</v>
      </c>
      <c r="BF42" s="7" t="s">
        <v>1180</v>
      </c>
      <c r="BI42" s="7" t="s">
        <v>982</v>
      </c>
      <c r="BW42" s="7" t="s">
        <v>976</v>
      </c>
      <c r="BY42" s="7" t="s">
        <v>990</v>
      </c>
      <c r="BZ42" s="7" t="s">
        <v>1022</v>
      </c>
    </row>
    <row r="43" spans="1:78" ht="25.5" x14ac:dyDescent="0.2">
      <c r="A43" s="6" t="s">
        <v>918</v>
      </c>
      <c r="B43" s="7" t="s">
        <v>972</v>
      </c>
      <c r="C43" s="7" t="s">
        <v>1156</v>
      </c>
      <c r="D43" s="7" t="s">
        <v>1003</v>
      </c>
      <c r="F43" s="7" t="s">
        <v>1166</v>
      </c>
      <c r="I43" s="7" t="s">
        <v>976</v>
      </c>
      <c r="M43" s="7" t="s">
        <v>975</v>
      </c>
      <c r="N43" s="7" t="s">
        <v>972</v>
      </c>
      <c r="P43" s="7" t="s">
        <v>977</v>
      </c>
      <c r="R43" s="7" t="s">
        <v>1023</v>
      </c>
      <c r="T43" s="7" t="s">
        <v>978</v>
      </c>
      <c r="X43" s="7">
        <v>0</v>
      </c>
      <c r="Y43" s="7" t="s">
        <v>982</v>
      </c>
      <c r="AE43" s="7" t="s">
        <v>983</v>
      </c>
      <c r="AF43" s="7" t="s">
        <v>983</v>
      </c>
      <c r="AH43" s="7" t="s">
        <v>983</v>
      </c>
      <c r="AP43" s="7" t="s">
        <v>976</v>
      </c>
      <c r="AR43" s="7" t="s">
        <v>976</v>
      </c>
      <c r="AT43" s="7" t="s">
        <v>1163</v>
      </c>
      <c r="AV43" s="7" t="s">
        <v>972</v>
      </c>
      <c r="AW43" s="7" t="s">
        <v>1158</v>
      </c>
      <c r="AY43" s="7" t="s">
        <v>1027</v>
      </c>
      <c r="AZ43" s="7" t="s">
        <v>977</v>
      </c>
      <c r="BB43" s="7" t="s">
        <v>1023</v>
      </c>
      <c r="BF43" s="7" t="s">
        <v>1159</v>
      </c>
      <c r="BH43" s="7">
        <v>0</v>
      </c>
      <c r="BI43" s="7" t="s">
        <v>982</v>
      </c>
      <c r="BW43" s="7" t="s">
        <v>976</v>
      </c>
      <c r="BY43" s="7" t="s">
        <v>990</v>
      </c>
      <c r="BZ43" s="7" t="s">
        <v>1161</v>
      </c>
    </row>
    <row r="44" spans="1:78" ht="63.75" x14ac:dyDescent="0.2">
      <c r="A44" s="6" t="s">
        <v>965</v>
      </c>
      <c r="B44" s="7" t="s">
        <v>972</v>
      </c>
      <c r="C44" s="7" t="s">
        <v>1156</v>
      </c>
      <c r="D44" s="7" t="s">
        <v>1003</v>
      </c>
      <c r="F44" s="7" t="s">
        <v>1166</v>
      </c>
      <c r="I44" s="7" t="s">
        <v>976</v>
      </c>
      <c r="M44" s="7" t="s">
        <v>975</v>
      </c>
      <c r="N44" s="7" t="s">
        <v>972</v>
      </c>
      <c r="P44" s="7" t="s">
        <v>977</v>
      </c>
      <c r="R44" s="7" t="s">
        <v>972</v>
      </c>
      <c r="S44" s="7">
        <v>1</v>
      </c>
      <c r="T44" s="7" t="s">
        <v>978</v>
      </c>
      <c r="V44" s="7" t="s">
        <v>3544</v>
      </c>
      <c r="X44" s="7">
        <v>0</v>
      </c>
      <c r="Y44" s="7" t="s">
        <v>982</v>
      </c>
      <c r="AE44" s="7" t="s">
        <v>982</v>
      </c>
      <c r="AF44" s="7" t="s">
        <v>982</v>
      </c>
      <c r="AH44" s="7" t="s">
        <v>982</v>
      </c>
      <c r="AO44" s="24">
        <v>5000</v>
      </c>
      <c r="AP44" s="7" t="s">
        <v>976</v>
      </c>
      <c r="AR44" s="7" t="s">
        <v>976</v>
      </c>
      <c r="AT44" s="7" t="s">
        <v>987</v>
      </c>
      <c r="AV44" s="7" t="s">
        <v>972</v>
      </c>
      <c r="AW44" s="7" t="s">
        <v>990</v>
      </c>
      <c r="AX44" s="7" t="s">
        <v>1255</v>
      </c>
      <c r="AY44" s="7" t="s">
        <v>1027</v>
      </c>
      <c r="AZ44" s="7" t="s">
        <v>977</v>
      </c>
      <c r="BB44" s="7" t="s">
        <v>972</v>
      </c>
      <c r="BC44" s="7">
        <v>1</v>
      </c>
      <c r="BF44" s="7" t="s">
        <v>1256</v>
      </c>
      <c r="BH44" s="7">
        <v>0</v>
      </c>
      <c r="BI44" s="7" t="s">
        <v>982</v>
      </c>
      <c r="BW44" s="7" t="s">
        <v>976</v>
      </c>
      <c r="BY44" s="7" t="s">
        <v>990</v>
      </c>
      <c r="BZ44" s="7" t="s">
        <v>1257</v>
      </c>
    </row>
    <row r="45" spans="1:78" ht="38.25" x14ac:dyDescent="0.2">
      <c r="A45" s="6" t="s">
        <v>942</v>
      </c>
      <c r="B45" s="7" t="s">
        <v>972</v>
      </c>
      <c r="C45" s="7" t="s">
        <v>1156</v>
      </c>
      <c r="D45" s="7" t="s">
        <v>1003</v>
      </c>
      <c r="F45" s="7" t="s">
        <v>1166</v>
      </c>
      <c r="I45" s="7" t="s">
        <v>976</v>
      </c>
      <c r="M45" s="7" t="s">
        <v>975</v>
      </c>
      <c r="N45" s="7" t="s">
        <v>972</v>
      </c>
      <c r="P45" s="7" t="s">
        <v>977</v>
      </c>
      <c r="R45" s="7" t="s">
        <v>972</v>
      </c>
      <c r="S45" s="7">
        <v>0</v>
      </c>
      <c r="T45" s="7" t="s">
        <v>978</v>
      </c>
      <c r="V45" s="7" t="s">
        <v>1222</v>
      </c>
      <c r="X45" s="7">
        <v>0</v>
      </c>
      <c r="Y45" s="7" t="s">
        <v>982</v>
      </c>
      <c r="AE45" s="7" t="s">
        <v>993</v>
      </c>
      <c r="AF45" s="7" t="s">
        <v>993</v>
      </c>
      <c r="AH45" s="7" t="s">
        <v>993</v>
      </c>
      <c r="AO45" s="24">
        <v>1000</v>
      </c>
      <c r="AP45" s="7" t="s">
        <v>976</v>
      </c>
      <c r="AR45" s="7" t="s">
        <v>976</v>
      </c>
      <c r="AT45" s="7" t="s">
        <v>1168</v>
      </c>
      <c r="AV45" s="7" t="s">
        <v>976</v>
      </c>
    </row>
    <row r="46" spans="1:78" ht="63.75" x14ac:dyDescent="0.2">
      <c r="A46" s="6" t="s">
        <v>955</v>
      </c>
      <c r="B46" s="7" t="s">
        <v>972</v>
      </c>
      <c r="C46" s="7" t="s">
        <v>1156</v>
      </c>
      <c r="D46" s="7" t="s">
        <v>1003</v>
      </c>
      <c r="F46" s="7" t="s">
        <v>1166</v>
      </c>
      <c r="I46" s="7" t="s">
        <v>976</v>
      </c>
      <c r="M46" s="7" t="s">
        <v>975</v>
      </c>
      <c r="N46" s="7" t="s">
        <v>972</v>
      </c>
      <c r="P46" s="7" t="s">
        <v>977</v>
      </c>
      <c r="R46" s="7" t="s">
        <v>972</v>
      </c>
      <c r="S46" s="7">
        <v>8</v>
      </c>
      <c r="T46" s="7" t="s">
        <v>978</v>
      </c>
      <c r="V46" s="7" t="s">
        <v>3558</v>
      </c>
      <c r="W46" s="7" t="s">
        <v>1242</v>
      </c>
      <c r="X46" s="7">
        <v>0</v>
      </c>
      <c r="Y46" s="7" t="s">
        <v>982</v>
      </c>
      <c r="AE46" s="7" t="s">
        <v>982</v>
      </c>
      <c r="AF46" s="7" t="s">
        <v>982</v>
      </c>
      <c r="AH46" s="7" t="s">
        <v>982</v>
      </c>
      <c r="AO46" s="24">
        <v>6000</v>
      </c>
      <c r="AP46" s="7" t="s">
        <v>976</v>
      </c>
      <c r="AR46" s="7" t="s">
        <v>976</v>
      </c>
      <c r="AT46" s="7" t="s">
        <v>987</v>
      </c>
      <c r="AV46" s="7" t="s">
        <v>972</v>
      </c>
      <c r="AW46" s="7" t="s">
        <v>1164</v>
      </c>
      <c r="AY46" s="7" t="s">
        <v>1027</v>
      </c>
      <c r="AZ46" s="7" t="s">
        <v>977</v>
      </c>
      <c r="BB46" s="7" t="s">
        <v>972</v>
      </c>
      <c r="BC46" s="7">
        <v>8</v>
      </c>
      <c r="BF46" s="7" t="s">
        <v>1180</v>
      </c>
      <c r="BH46" s="7">
        <v>0</v>
      </c>
      <c r="BI46" s="7" t="s">
        <v>982</v>
      </c>
      <c r="BW46" s="7" t="s">
        <v>976</v>
      </c>
      <c r="BY46" s="7" t="s">
        <v>990</v>
      </c>
      <c r="BZ46" s="7" t="s">
        <v>1243</v>
      </c>
    </row>
    <row r="47" spans="1:78" ht="51" x14ac:dyDescent="0.2">
      <c r="A47" s="12" t="s">
        <v>967</v>
      </c>
      <c r="B47" s="10" t="s">
        <v>972</v>
      </c>
      <c r="C47" s="10" t="s">
        <v>1156</v>
      </c>
      <c r="D47" s="10" t="s">
        <v>1003</v>
      </c>
      <c r="E47" s="10"/>
      <c r="F47" s="10" t="s">
        <v>1166</v>
      </c>
      <c r="G47" s="10"/>
      <c r="H47" s="10"/>
      <c r="I47" s="10" t="s">
        <v>976</v>
      </c>
      <c r="J47" s="10"/>
      <c r="K47" s="10"/>
      <c r="L47" s="10"/>
      <c r="M47" s="10" t="s">
        <v>975</v>
      </c>
      <c r="N47" s="10" t="s">
        <v>972</v>
      </c>
      <c r="O47" s="10"/>
      <c r="P47" s="10" t="s">
        <v>977</v>
      </c>
      <c r="Q47" s="10"/>
      <c r="R47" s="10" t="s">
        <v>972</v>
      </c>
      <c r="S47" s="10">
        <v>1</v>
      </c>
      <c r="T47" s="10" t="s">
        <v>1258</v>
      </c>
      <c r="U47" s="10"/>
      <c r="V47" s="10" t="s">
        <v>3551</v>
      </c>
      <c r="W47" s="10"/>
      <c r="X47" s="10">
        <v>0</v>
      </c>
      <c r="Y47" s="10" t="s">
        <v>982</v>
      </c>
      <c r="Z47" s="10"/>
      <c r="AA47" s="10"/>
      <c r="AB47" s="10"/>
      <c r="AC47" s="10"/>
      <c r="AD47" s="10"/>
      <c r="AE47" s="10" t="s">
        <v>982</v>
      </c>
      <c r="AF47" s="10" t="s">
        <v>982</v>
      </c>
      <c r="AG47" s="10"/>
      <c r="AH47" s="10"/>
      <c r="AI47" s="10"/>
      <c r="AJ47" s="10"/>
      <c r="AK47" s="10"/>
      <c r="AL47" s="10"/>
      <c r="AM47" s="10"/>
      <c r="AN47" s="10"/>
      <c r="AO47" s="26">
        <v>1500</v>
      </c>
      <c r="AP47" s="10" t="s">
        <v>976</v>
      </c>
      <c r="AQ47" s="10"/>
      <c r="AR47" s="10" t="s">
        <v>976</v>
      </c>
      <c r="AS47" s="10"/>
      <c r="AT47" s="10" t="s">
        <v>1168</v>
      </c>
      <c r="AU47" s="10"/>
      <c r="AV47" s="10" t="s">
        <v>972</v>
      </c>
      <c r="AW47" s="10" t="s">
        <v>1164</v>
      </c>
      <c r="AX47" s="10"/>
      <c r="AY47" s="10" t="s">
        <v>1027</v>
      </c>
      <c r="AZ47" s="10" t="s">
        <v>977</v>
      </c>
      <c r="BA47" s="10"/>
      <c r="BB47" s="10" t="s">
        <v>972</v>
      </c>
      <c r="BC47" s="10">
        <v>1</v>
      </c>
      <c r="BD47" s="10"/>
      <c r="BE47" s="10"/>
      <c r="BF47" s="10" t="s">
        <v>1159</v>
      </c>
      <c r="BG47" s="10"/>
      <c r="BH47" s="10">
        <v>0</v>
      </c>
      <c r="BI47" s="10" t="s">
        <v>982</v>
      </c>
      <c r="BJ47" s="10"/>
      <c r="BK47" s="10"/>
      <c r="BL47" s="10"/>
      <c r="BM47" s="10"/>
      <c r="BN47" s="10"/>
      <c r="BO47" s="10"/>
      <c r="BP47" s="10"/>
      <c r="BQ47" s="10"/>
      <c r="BR47" s="10"/>
      <c r="BS47" s="10"/>
      <c r="BT47" s="10"/>
      <c r="BU47" s="10"/>
      <c r="BV47" s="10"/>
      <c r="BW47" s="10" t="s">
        <v>976</v>
      </c>
      <c r="BX47" s="10"/>
      <c r="BY47" s="10" t="s">
        <v>990</v>
      </c>
      <c r="BZ47" s="10" t="s">
        <v>1259</v>
      </c>
    </row>
    <row r="48" spans="1:78" ht="51" x14ac:dyDescent="0.2">
      <c r="A48" s="6" t="s">
        <v>964</v>
      </c>
      <c r="B48" s="7" t="s">
        <v>972</v>
      </c>
      <c r="P48" s="7" t="s">
        <v>990</v>
      </c>
      <c r="Q48" s="7" t="s">
        <v>1252</v>
      </c>
      <c r="R48" s="7" t="s">
        <v>976</v>
      </c>
      <c r="V48" s="7" t="s">
        <v>3552</v>
      </c>
      <c r="X48" s="7">
        <v>0</v>
      </c>
      <c r="Y48" s="7" t="s">
        <v>982</v>
      </c>
      <c r="AP48" s="7" t="s">
        <v>976</v>
      </c>
      <c r="AR48" s="7" t="s">
        <v>976</v>
      </c>
      <c r="AT48" s="7" t="s">
        <v>987</v>
      </c>
      <c r="AV48" s="7" t="s">
        <v>972</v>
      </c>
      <c r="AW48" s="7" t="s">
        <v>990</v>
      </c>
      <c r="AX48" s="7" t="s">
        <v>1253</v>
      </c>
      <c r="AY48" s="7" t="s">
        <v>975</v>
      </c>
      <c r="AZ48" s="7" t="s">
        <v>990</v>
      </c>
      <c r="BA48" s="7" t="s">
        <v>1254</v>
      </c>
      <c r="BB48" s="7" t="s">
        <v>976</v>
      </c>
      <c r="BD48" s="7" t="s">
        <v>1015</v>
      </c>
      <c r="BF48" s="7" t="s">
        <v>990</v>
      </c>
      <c r="BG48" s="7" t="s">
        <v>1253</v>
      </c>
      <c r="BH48" s="7">
        <v>0</v>
      </c>
      <c r="BI48" s="7" t="s">
        <v>982</v>
      </c>
      <c r="BO48" s="7" t="s">
        <v>993</v>
      </c>
      <c r="BP48" s="7" t="s">
        <v>993</v>
      </c>
      <c r="BQ48" s="7" t="s">
        <v>993</v>
      </c>
      <c r="BR48" s="7" t="s">
        <v>993</v>
      </c>
      <c r="BW48" s="7" t="s">
        <v>976</v>
      </c>
      <c r="BY48" s="7" t="s">
        <v>990</v>
      </c>
      <c r="BZ48" s="7" t="s">
        <v>1022</v>
      </c>
    </row>
    <row r="49" spans="1:78" ht="25.5" x14ac:dyDescent="0.2">
      <c r="A49" s="6" t="s">
        <v>951</v>
      </c>
      <c r="B49" s="7" t="s">
        <v>976</v>
      </c>
      <c r="AV49" s="7" t="s">
        <v>972</v>
      </c>
      <c r="AW49" s="7" t="s">
        <v>1158</v>
      </c>
      <c r="AY49" s="7" t="s">
        <v>1027</v>
      </c>
      <c r="AZ49" s="7" t="s">
        <v>977</v>
      </c>
      <c r="BB49" s="7" t="s">
        <v>972</v>
      </c>
      <c r="BF49" s="7" t="s">
        <v>1195</v>
      </c>
      <c r="BG49" s="7" t="s">
        <v>1235</v>
      </c>
      <c r="BI49" s="7" t="s">
        <v>993</v>
      </c>
      <c r="BJ49" s="7" t="s">
        <v>1160</v>
      </c>
      <c r="BM49" s="7">
        <v>50</v>
      </c>
      <c r="BW49" s="7" t="s">
        <v>976</v>
      </c>
      <c r="BY49" s="7" t="s">
        <v>990</v>
      </c>
      <c r="BZ49" s="7" t="s">
        <v>971</v>
      </c>
    </row>
    <row r="50" spans="1:78" s="14" customFormat="1" ht="63.75" x14ac:dyDescent="0.2">
      <c r="A50" s="6" t="s">
        <v>954</v>
      </c>
      <c r="B50" s="7" t="s">
        <v>972</v>
      </c>
      <c r="C50" s="7" t="s">
        <v>1156</v>
      </c>
      <c r="D50" s="7" t="s">
        <v>990</v>
      </c>
      <c r="E50" s="7" t="s">
        <v>1240</v>
      </c>
      <c r="F50" s="7"/>
      <c r="G50" s="7"/>
      <c r="H50" s="7"/>
      <c r="I50" s="7" t="s">
        <v>972</v>
      </c>
      <c r="J50" s="7">
        <v>5</v>
      </c>
      <c r="K50" s="7" t="s">
        <v>972</v>
      </c>
      <c r="L50" s="7"/>
      <c r="M50" s="7" t="s">
        <v>975</v>
      </c>
      <c r="N50" s="7" t="s">
        <v>972</v>
      </c>
      <c r="O50" s="7"/>
      <c r="P50" s="7" t="s">
        <v>977</v>
      </c>
      <c r="Q50" s="7"/>
      <c r="R50" s="7" t="s">
        <v>972</v>
      </c>
      <c r="S50" s="7">
        <v>20</v>
      </c>
      <c r="T50" s="7" t="s">
        <v>1241</v>
      </c>
      <c r="U50" s="7"/>
      <c r="V50" s="7" t="s">
        <v>3544</v>
      </c>
      <c r="W50" s="7"/>
      <c r="X50" s="7">
        <v>0</v>
      </c>
      <c r="Y50" s="7" t="s">
        <v>983</v>
      </c>
      <c r="Z50" s="7"/>
      <c r="AA50" s="7"/>
      <c r="AB50" s="7"/>
      <c r="AC50" s="7"/>
      <c r="AD50" s="7"/>
      <c r="AE50" s="7" t="s">
        <v>983</v>
      </c>
      <c r="AF50" s="7" t="s">
        <v>983</v>
      </c>
      <c r="AG50" s="7"/>
      <c r="AH50" s="7" t="s">
        <v>983</v>
      </c>
      <c r="AI50" s="7" t="s">
        <v>983</v>
      </c>
      <c r="AJ50" s="7"/>
      <c r="AK50" s="7"/>
      <c r="AL50" s="7"/>
      <c r="AM50" s="7"/>
      <c r="AN50" s="7"/>
      <c r="AO50" s="24"/>
      <c r="AP50" s="7" t="s">
        <v>976</v>
      </c>
      <c r="AQ50" s="7"/>
      <c r="AR50" s="7" t="s">
        <v>976</v>
      </c>
      <c r="AS50" s="7"/>
      <c r="AT50" s="7" t="s">
        <v>987</v>
      </c>
      <c r="AU50" s="7"/>
      <c r="AV50" s="7" t="s">
        <v>976</v>
      </c>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row>
    <row r="51" spans="1:78" ht="63.75" x14ac:dyDescent="0.2">
      <c r="A51" s="6" t="s">
        <v>944</v>
      </c>
      <c r="B51" s="7" t="s">
        <v>972</v>
      </c>
      <c r="C51" s="7" t="s">
        <v>1191</v>
      </c>
      <c r="D51" s="7" t="s">
        <v>1003</v>
      </c>
      <c r="F51" s="7" t="s">
        <v>1166</v>
      </c>
      <c r="I51" s="7" t="s">
        <v>976</v>
      </c>
      <c r="M51" s="7" t="s">
        <v>975</v>
      </c>
      <c r="N51" s="7" t="s">
        <v>972</v>
      </c>
      <c r="P51" s="7" t="s">
        <v>977</v>
      </c>
      <c r="R51" s="7" t="s">
        <v>972</v>
      </c>
      <c r="T51" s="7" t="s">
        <v>978</v>
      </c>
      <c r="V51" s="7" t="s">
        <v>3557</v>
      </c>
      <c r="W51" s="7" t="s">
        <v>1226</v>
      </c>
      <c r="X51" s="7">
        <v>0</v>
      </c>
      <c r="Y51" s="7" t="s">
        <v>982</v>
      </c>
      <c r="AE51" s="7" t="s">
        <v>982</v>
      </c>
      <c r="AF51" s="7" t="s">
        <v>982</v>
      </c>
      <c r="AH51" s="7" t="s">
        <v>982</v>
      </c>
      <c r="AP51" s="7" t="s">
        <v>976</v>
      </c>
      <c r="AR51" s="7" t="s">
        <v>976</v>
      </c>
      <c r="AT51" s="7" t="s">
        <v>1168</v>
      </c>
      <c r="AV51" s="7" t="s">
        <v>972</v>
      </c>
      <c r="AY51" s="7" t="s">
        <v>975</v>
      </c>
      <c r="AZ51" s="7" t="s">
        <v>977</v>
      </c>
      <c r="BB51" s="7" t="s">
        <v>972</v>
      </c>
      <c r="BD51" s="7" t="s">
        <v>978</v>
      </c>
      <c r="BF51" s="7" t="s">
        <v>1180</v>
      </c>
      <c r="BH51" s="7">
        <v>0</v>
      </c>
      <c r="BI51" s="7" t="s">
        <v>982</v>
      </c>
      <c r="BO51" s="7" t="s">
        <v>982</v>
      </c>
      <c r="BP51" s="7" t="s">
        <v>982</v>
      </c>
      <c r="BR51" s="7" t="s">
        <v>982</v>
      </c>
      <c r="BW51" s="7" t="s">
        <v>976</v>
      </c>
      <c r="BY51" s="7" t="s">
        <v>990</v>
      </c>
      <c r="BZ51" s="7" t="s">
        <v>1168</v>
      </c>
    </row>
    <row r="52" spans="1:78" ht="165.75" x14ac:dyDescent="0.2">
      <c r="A52" s="6" t="s">
        <v>950</v>
      </c>
      <c r="B52" s="7" t="s">
        <v>972</v>
      </c>
      <c r="C52" s="7" t="s">
        <v>1156</v>
      </c>
      <c r="D52" s="7" t="s">
        <v>1003</v>
      </c>
      <c r="F52" s="7" t="s">
        <v>1166</v>
      </c>
      <c r="I52" s="7" t="s">
        <v>972</v>
      </c>
      <c r="J52" s="7">
        <v>2</v>
      </c>
      <c r="K52" s="7" t="s">
        <v>972</v>
      </c>
      <c r="M52" s="7" t="s">
        <v>975</v>
      </c>
      <c r="N52" s="7" t="s">
        <v>972</v>
      </c>
      <c r="P52" s="7" t="s">
        <v>977</v>
      </c>
      <c r="R52" s="7" t="s">
        <v>972</v>
      </c>
      <c r="S52" s="7">
        <v>1</v>
      </c>
      <c r="T52" s="7" t="s">
        <v>978</v>
      </c>
      <c r="V52" s="7" t="s">
        <v>3558</v>
      </c>
      <c r="W52" s="7" t="s">
        <v>1233</v>
      </c>
      <c r="X52" s="7">
        <v>0</v>
      </c>
      <c r="Y52" s="7" t="s">
        <v>982</v>
      </c>
      <c r="AE52" s="7" t="s">
        <v>982</v>
      </c>
      <c r="AF52" s="7" t="s">
        <v>982</v>
      </c>
      <c r="AH52" s="7" t="s">
        <v>982</v>
      </c>
      <c r="AP52" s="7" t="s">
        <v>972</v>
      </c>
      <c r="AQ52" s="7" t="s">
        <v>1234</v>
      </c>
      <c r="AR52" s="7" t="s">
        <v>976</v>
      </c>
      <c r="AT52" s="7" t="s">
        <v>987</v>
      </c>
      <c r="AV52" s="7" t="s">
        <v>972</v>
      </c>
      <c r="AW52" s="7" t="s">
        <v>1158</v>
      </c>
      <c r="AY52" s="7" t="s">
        <v>1027</v>
      </c>
      <c r="AZ52" s="7" t="s">
        <v>977</v>
      </c>
      <c r="BB52" s="7" t="s">
        <v>972</v>
      </c>
      <c r="BC52" s="7">
        <v>1</v>
      </c>
      <c r="BF52" s="7" t="s">
        <v>1159</v>
      </c>
      <c r="BH52" s="7">
        <v>0</v>
      </c>
      <c r="BI52" s="7" t="s">
        <v>982</v>
      </c>
      <c r="BW52" s="7" t="s">
        <v>976</v>
      </c>
      <c r="BY52" s="7" t="s">
        <v>990</v>
      </c>
      <c r="BZ52" s="7" t="s">
        <v>1161</v>
      </c>
    </row>
    <row r="53" spans="1:78" ht="51" x14ac:dyDescent="0.2">
      <c r="A53" s="6" t="s">
        <v>940</v>
      </c>
      <c r="B53" s="7" t="s">
        <v>972</v>
      </c>
      <c r="C53" s="7" t="s">
        <v>1156</v>
      </c>
      <c r="D53" s="7" t="s">
        <v>1003</v>
      </c>
      <c r="F53" s="7" t="s">
        <v>1166</v>
      </c>
      <c r="I53" s="7" t="s">
        <v>976</v>
      </c>
      <c r="M53" s="7" t="s">
        <v>975</v>
      </c>
      <c r="N53" s="7" t="s">
        <v>972</v>
      </c>
      <c r="P53" s="7" t="s">
        <v>977</v>
      </c>
      <c r="R53" s="7" t="s">
        <v>972</v>
      </c>
      <c r="S53" s="7">
        <v>20</v>
      </c>
      <c r="T53" s="7" t="s">
        <v>978</v>
      </c>
      <c r="V53" s="7" t="s">
        <v>3555</v>
      </c>
      <c r="X53" s="7">
        <v>0</v>
      </c>
      <c r="Y53" s="7" t="s">
        <v>993</v>
      </c>
      <c r="Z53" s="7" t="s">
        <v>994</v>
      </c>
      <c r="AD53" s="7" t="s">
        <v>1218</v>
      </c>
      <c r="AE53" s="7" t="s">
        <v>982</v>
      </c>
      <c r="AF53" s="7" t="s">
        <v>982</v>
      </c>
      <c r="AH53" s="7" t="s">
        <v>982</v>
      </c>
      <c r="AP53" s="7" t="s">
        <v>976</v>
      </c>
      <c r="AR53" s="7" t="s">
        <v>976</v>
      </c>
      <c r="AT53" s="7" t="s">
        <v>987</v>
      </c>
      <c r="AV53" s="7" t="s">
        <v>972</v>
      </c>
      <c r="AW53" s="7" t="s">
        <v>990</v>
      </c>
      <c r="AX53" s="7" t="s">
        <v>1219</v>
      </c>
      <c r="AY53" s="7" t="s">
        <v>1027</v>
      </c>
      <c r="AZ53" s="7" t="s">
        <v>977</v>
      </c>
      <c r="BB53" s="7" t="s">
        <v>972</v>
      </c>
      <c r="BC53" s="7">
        <v>20</v>
      </c>
      <c r="BF53" s="7" t="s">
        <v>1205</v>
      </c>
      <c r="BH53" s="7">
        <v>0</v>
      </c>
      <c r="BI53" s="7" t="s">
        <v>993</v>
      </c>
      <c r="BJ53" s="7" t="s">
        <v>1160</v>
      </c>
      <c r="BM53" s="7">
        <v>130</v>
      </c>
      <c r="BW53" s="7" t="s">
        <v>976</v>
      </c>
      <c r="BY53" s="7" t="s">
        <v>990</v>
      </c>
      <c r="BZ53" s="7" t="s">
        <v>1220</v>
      </c>
    </row>
    <row r="54" spans="1:78" ht="63.75" x14ac:dyDescent="0.2">
      <c r="A54" s="6" t="s">
        <v>960</v>
      </c>
      <c r="B54" s="7" t="s">
        <v>972</v>
      </c>
      <c r="C54" s="7" t="s">
        <v>1156</v>
      </c>
      <c r="D54" s="7" t="s">
        <v>1003</v>
      </c>
      <c r="F54" s="7" t="s">
        <v>1166</v>
      </c>
      <c r="I54" s="7" t="s">
        <v>972</v>
      </c>
      <c r="J54" s="7">
        <v>4</v>
      </c>
      <c r="K54" s="7" t="s">
        <v>972</v>
      </c>
      <c r="M54" s="7" t="s">
        <v>975</v>
      </c>
      <c r="N54" s="7" t="s">
        <v>972</v>
      </c>
      <c r="P54" s="7" t="s">
        <v>977</v>
      </c>
      <c r="R54" s="7" t="s">
        <v>972</v>
      </c>
      <c r="T54" s="7" t="s">
        <v>978</v>
      </c>
      <c r="V54" s="7" t="s">
        <v>3544</v>
      </c>
      <c r="Y54" s="7" t="s">
        <v>982</v>
      </c>
      <c r="AE54" s="7" t="s">
        <v>982</v>
      </c>
      <c r="AF54" s="7" t="s">
        <v>982</v>
      </c>
      <c r="AH54" s="7" t="s">
        <v>982</v>
      </c>
      <c r="AP54" s="7" t="s">
        <v>976</v>
      </c>
      <c r="AR54" s="7" t="s">
        <v>976</v>
      </c>
      <c r="AT54" s="7" t="s">
        <v>990</v>
      </c>
      <c r="AU54" s="7" t="s">
        <v>1066</v>
      </c>
      <c r="AV54" s="7" t="s">
        <v>976</v>
      </c>
    </row>
    <row r="55" spans="1:78" ht="63.75" x14ac:dyDescent="0.2">
      <c r="A55" s="6" t="s">
        <v>916</v>
      </c>
      <c r="B55" s="7" t="s">
        <v>972</v>
      </c>
      <c r="C55" s="7" t="s">
        <v>1156</v>
      </c>
      <c r="D55" s="7" t="s">
        <v>1157</v>
      </c>
      <c r="I55" s="7" t="s">
        <v>976</v>
      </c>
      <c r="M55" s="7" t="s">
        <v>975</v>
      </c>
      <c r="N55" s="7" t="s">
        <v>972</v>
      </c>
      <c r="P55" s="7" t="s">
        <v>977</v>
      </c>
      <c r="R55" s="7" t="s">
        <v>976</v>
      </c>
      <c r="T55" s="7" t="s">
        <v>978</v>
      </c>
      <c r="V55" s="7" t="s">
        <v>3544</v>
      </c>
      <c r="X55" s="7">
        <v>0</v>
      </c>
      <c r="Y55" s="7" t="s">
        <v>982</v>
      </c>
      <c r="AE55" s="7" t="s">
        <v>983</v>
      </c>
      <c r="AF55" s="7" t="s">
        <v>983</v>
      </c>
      <c r="AH55" s="7" t="s">
        <v>983</v>
      </c>
      <c r="AO55" s="24">
        <v>7530</v>
      </c>
      <c r="AP55" s="7" t="s">
        <v>972</v>
      </c>
      <c r="AQ55" s="7" t="s">
        <v>1170</v>
      </c>
      <c r="AR55" s="7" t="s">
        <v>976</v>
      </c>
      <c r="AT55" s="7" t="s">
        <v>987</v>
      </c>
      <c r="AV55" s="7" t="s">
        <v>972</v>
      </c>
      <c r="AW55" s="7" t="s">
        <v>990</v>
      </c>
      <c r="AX55" s="7" t="s">
        <v>1171</v>
      </c>
      <c r="AY55" s="7" t="s">
        <v>1027</v>
      </c>
      <c r="AZ55" s="7" t="s">
        <v>977</v>
      </c>
      <c r="BB55" s="7" t="s">
        <v>972</v>
      </c>
      <c r="BC55" s="7">
        <v>0</v>
      </c>
      <c r="BF55" s="7" t="s">
        <v>1172</v>
      </c>
      <c r="BH55" s="7">
        <v>0</v>
      </c>
      <c r="BI55" s="7" t="s">
        <v>982</v>
      </c>
      <c r="BW55" s="7" t="s">
        <v>976</v>
      </c>
      <c r="BY55" s="7" t="s">
        <v>990</v>
      </c>
      <c r="BZ55" s="7" t="s">
        <v>1173</v>
      </c>
    </row>
    <row r="56" spans="1:78" ht="51" x14ac:dyDescent="0.2">
      <c r="A56" s="6" t="s">
        <v>946</v>
      </c>
      <c r="B56" s="7" t="s">
        <v>972</v>
      </c>
      <c r="C56" s="7" t="s">
        <v>1156</v>
      </c>
      <c r="D56" s="7" t="s">
        <v>1003</v>
      </c>
      <c r="F56" s="7" t="s">
        <v>1166</v>
      </c>
      <c r="I56" s="7" t="s">
        <v>976</v>
      </c>
      <c r="M56" s="7" t="s">
        <v>975</v>
      </c>
      <c r="N56" s="7" t="s">
        <v>972</v>
      </c>
      <c r="P56" s="7" t="s">
        <v>977</v>
      </c>
      <c r="R56" s="7" t="s">
        <v>972</v>
      </c>
      <c r="S56" s="7">
        <v>0</v>
      </c>
      <c r="T56" s="7" t="s">
        <v>1015</v>
      </c>
      <c r="V56" s="7" t="s">
        <v>3551</v>
      </c>
      <c r="X56" s="7">
        <v>0</v>
      </c>
      <c r="Y56" s="7" t="s">
        <v>982</v>
      </c>
      <c r="AE56" s="7" t="s">
        <v>983</v>
      </c>
      <c r="AF56" s="7" t="s">
        <v>983</v>
      </c>
      <c r="AG56" s="7" t="s">
        <v>983</v>
      </c>
      <c r="AH56" s="7" t="s">
        <v>983</v>
      </c>
      <c r="AO56" s="24">
        <v>5120</v>
      </c>
      <c r="AP56" s="7" t="s">
        <v>976</v>
      </c>
      <c r="AR56" s="7" t="s">
        <v>976</v>
      </c>
      <c r="AT56" s="7" t="s">
        <v>987</v>
      </c>
      <c r="AV56" s="7" t="s">
        <v>972</v>
      </c>
      <c r="AW56" s="7" t="s">
        <v>1158</v>
      </c>
      <c r="AY56" s="7" t="s">
        <v>1027</v>
      </c>
      <c r="AZ56" s="7" t="s">
        <v>977</v>
      </c>
      <c r="BB56" s="7" t="s">
        <v>972</v>
      </c>
      <c r="BC56" s="7">
        <v>0</v>
      </c>
      <c r="BF56" s="7" t="s">
        <v>1159</v>
      </c>
      <c r="BH56" s="7">
        <v>0</v>
      </c>
      <c r="BI56" s="7" t="s">
        <v>993</v>
      </c>
      <c r="BJ56" s="7" t="s">
        <v>1160</v>
      </c>
      <c r="BM56" s="7">
        <v>75</v>
      </c>
      <c r="BY56" s="7" t="s">
        <v>990</v>
      </c>
      <c r="BZ56" s="7" t="s">
        <v>1228</v>
      </c>
    </row>
    <row r="57" spans="1:78" ht="51" x14ac:dyDescent="0.2">
      <c r="A57" s="6" t="s">
        <v>919</v>
      </c>
      <c r="B57" s="7" t="s">
        <v>972</v>
      </c>
      <c r="C57" s="7" t="s">
        <v>1156</v>
      </c>
      <c r="D57" s="7" t="s">
        <v>1003</v>
      </c>
      <c r="F57" s="7" t="s">
        <v>1166</v>
      </c>
      <c r="I57" s="7" t="s">
        <v>972</v>
      </c>
      <c r="J57" s="7">
        <v>4</v>
      </c>
      <c r="K57" s="7" t="s">
        <v>972</v>
      </c>
      <c r="M57" s="7" t="s">
        <v>975</v>
      </c>
      <c r="N57" s="7" t="s">
        <v>972</v>
      </c>
      <c r="P57" s="7" t="s">
        <v>977</v>
      </c>
      <c r="R57" s="7" t="s">
        <v>972</v>
      </c>
      <c r="S57" s="7">
        <v>15</v>
      </c>
      <c r="T57" s="7" t="s">
        <v>978</v>
      </c>
      <c r="V57" s="7" t="s">
        <v>3554</v>
      </c>
      <c r="W57" s="7" t="s">
        <v>1177</v>
      </c>
      <c r="X57" s="7">
        <v>30</v>
      </c>
      <c r="Y57" s="7" t="s">
        <v>983</v>
      </c>
      <c r="AE57" s="7" t="s">
        <v>983</v>
      </c>
      <c r="AF57" s="7" t="s">
        <v>983</v>
      </c>
      <c r="AH57" s="7" t="s">
        <v>983</v>
      </c>
      <c r="AO57" s="24">
        <v>1400</v>
      </c>
      <c r="AP57" s="7" t="s">
        <v>976</v>
      </c>
      <c r="AR57" s="7" t="s">
        <v>976</v>
      </c>
      <c r="AT57" s="7" t="s">
        <v>1168</v>
      </c>
      <c r="AV57" s="7" t="s">
        <v>972</v>
      </c>
      <c r="AW57" s="7" t="s">
        <v>990</v>
      </c>
      <c r="AX57" s="7" t="s">
        <v>1178</v>
      </c>
      <c r="AY57" s="7" t="s">
        <v>1027</v>
      </c>
      <c r="AZ57" s="7" t="s">
        <v>977</v>
      </c>
      <c r="BB57" s="7" t="s">
        <v>972</v>
      </c>
      <c r="BC57" s="7">
        <v>15</v>
      </c>
      <c r="BF57" s="7" t="s">
        <v>1159</v>
      </c>
      <c r="BI57" s="7" t="s">
        <v>993</v>
      </c>
      <c r="BJ57" s="7" t="s">
        <v>1160</v>
      </c>
      <c r="BM57" s="7">
        <v>45</v>
      </c>
      <c r="BW57" s="7" t="s">
        <v>976</v>
      </c>
      <c r="BY57" s="7" t="s">
        <v>990</v>
      </c>
      <c r="BZ57" s="7" t="s">
        <v>1179</v>
      </c>
    </row>
    <row r="58" spans="1:78" ht="25.5" x14ac:dyDescent="0.2">
      <c r="A58" s="6" t="s">
        <v>929</v>
      </c>
      <c r="B58" s="7" t="s">
        <v>976</v>
      </c>
      <c r="AV58" s="7" t="s">
        <v>972</v>
      </c>
      <c r="AW58" s="7" t="s">
        <v>1158</v>
      </c>
      <c r="AY58" s="7" t="s">
        <v>1027</v>
      </c>
      <c r="AZ58" s="7" t="s">
        <v>977</v>
      </c>
      <c r="BB58" s="7" t="s">
        <v>972</v>
      </c>
      <c r="BC58" s="7">
        <v>0</v>
      </c>
      <c r="BF58" s="7" t="s">
        <v>1180</v>
      </c>
      <c r="BH58" s="7">
        <v>0</v>
      </c>
      <c r="BI58" s="7" t="s">
        <v>982</v>
      </c>
      <c r="BW58" s="7" t="s">
        <v>976</v>
      </c>
      <c r="BY58" s="7" t="s">
        <v>990</v>
      </c>
      <c r="BZ58" s="7" t="s">
        <v>1197</v>
      </c>
    </row>
    <row r="59" spans="1:78" s="12" customFormat="1" ht="25.5" x14ac:dyDescent="0.2">
      <c r="A59" s="6" t="s">
        <v>943</v>
      </c>
      <c r="B59" s="7" t="s">
        <v>972</v>
      </c>
      <c r="C59" s="7" t="s">
        <v>1156</v>
      </c>
      <c r="D59" s="7" t="s">
        <v>990</v>
      </c>
      <c r="E59" s="7" t="s">
        <v>1223</v>
      </c>
      <c r="F59" s="7"/>
      <c r="G59" s="7"/>
      <c r="H59" s="7"/>
      <c r="I59" s="7" t="s">
        <v>972</v>
      </c>
      <c r="J59" s="7">
        <v>2</v>
      </c>
      <c r="K59" s="7" t="s">
        <v>972</v>
      </c>
      <c r="L59" s="7"/>
      <c r="M59" s="7" t="s">
        <v>975</v>
      </c>
      <c r="N59" s="7" t="s">
        <v>972</v>
      </c>
      <c r="O59" s="7"/>
      <c r="P59" s="7" t="s">
        <v>977</v>
      </c>
      <c r="Q59" s="7"/>
      <c r="R59" s="7" t="s">
        <v>972</v>
      </c>
      <c r="S59" s="7">
        <v>0</v>
      </c>
      <c r="T59" s="7" t="s">
        <v>978</v>
      </c>
      <c r="U59" s="7"/>
      <c r="V59" s="7" t="s">
        <v>990</v>
      </c>
      <c r="W59" s="7" t="s">
        <v>1224</v>
      </c>
      <c r="X59" s="7">
        <v>0</v>
      </c>
      <c r="Y59" s="7" t="s">
        <v>983</v>
      </c>
      <c r="Z59" s="7"/>
      <c r="AA59" s="7"/>
      <c r="AB59" s="7"/>
      <c r="AC59" s="7"/>
      <c r="AD59" s="7"/>
      <c r="AE59" s="7" t="s">
        <v>983</v>
      </c>
      <c r="AF59" s="7" t="s">
        <v>983</v>
      </c>
      <c r="AG59" s="7"/>
      <c r="AH59" s="7" t="s">
        <v>983</v>
      </c>
      <c r="AI59" s="7"/>
      <c r="AJ59" s="7"/>
      <c r="AK59" s="7"/>
      <c r="AL59" s="7"/>
      <c r="AM59" s="7"/>
      <c r="AN59" s="7"/>
      <c r="AO59" s="24"/>
      <c r="AP59" s="7" t="s">
        <v>976</v>
      </c>
      <c r="AQ59" s="7"/>
      <c r="AR59" s="7" t="s">
        <v>976</v>
      </c>
      <c r="AS59" s="7"/>
      <c r="AT59" s="7" t="s">
        <v>990</v>
      </c>
      <c r="AU59" s="7" t="s">
        <v>1066</v>
      </c>
      <c r="AV59" s="7" t="s">
        <v>972</v>
      </c>
      <c r="AW59" s="7" t="s">
        <v>1158</v>
      </c>
      <c r="AX59" s="7"/>
      <c r="AY59" s="7" t="s">
        <v>1027</v>
      </c>
      <c r="AZ59" s="7" t="s">
        <v>977</v>
      </c>
      <c r="BA59" s="7"/>
      <c r="BB59" s="7" t="s">
        <v>972</v>
      </c>
      <c r="BC59" s="7">
        <v>0</v>
      </c>
      <c r="BD59" s="7"/>
      <c r="BE59" s="7"/>
      <c r="BF59" s="7" t="s">
        <v>1159</v>
      </c>
      <c r="BG59" s="7"/>
      <c r="BH59" s="7">
        <v>0</v>
      </c>
      <c r="BI59" s="7" t="s">
        <v>993</v>
      </c>
      <c r="BJ59" s="7" t="s">
        <v>1160</v>
      </c>
      <c r="BK59" s="7"/>
      <c r="BL59" s="7"/>
      <c r="BM59" s="7">
        <v>75</v>
      </c>
      <c r="BN59" s="7"/>
      <c r="BO59" s="7"/>
      <c r="BP59" s="7"/>
      <c r="BQ59" s="7"/>
      <c r="BR59" s="7"/>
      <c r="BS59" s="7"/>
      <c r="BT59" s="7"/>
      <c r="BU59" s="7"/>
      <c r="BV59" s="7"/>
      <c r="BW59" s="7" t="s">
        <v>976</v>
      </c>
      <c r="BX59" s="7"/>
      <c r="BY59" s="7" t="s">
        <v>990</v>
      </c>
      <c r="BZ59" s="7" t="s">
        <v>1225</v>
      </c>
    </row>
    <row r="60" spans="1:78" s="12" customFormat="1" ht="25.5" x14ac:dyDescent="0.2">
      <c r="A60" s="6" t="s">
        <v>953</v>
      </c>
      <c r="B60" s="7" t="s">
        <v>976</v>
      </c>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24"/>
      <c r="AP60" s="7"/>
      <c r="AQ60" s="7"/>
      <c r="AR60" s="7"/>
      <c r="AS60" s="7"/>
      <c r="AT60" s="7"/>
      <c r="AU60" s="7"/>
      <c r="AV60" s="7" t="s">
        <v>972</v>
      </c>
      <c r="AW60" s="7" t="s">
        <v>990</v>
      </c>
      <c r="AX60" s="7" t="s">
        <v>1239</v>
      </c>
      <c r="AY60" s="7" t="s">
        <v>1027</v>
      </c>
      <c r="AZ60" s="7" t="s">
        <v>977</v>
      </c>
      <c r="BA60" s="7"/>
      <c r="BB60" s="7" t="s">
        <v>972</v>
      </c>
      <c r="BC60" s="7">
        <v>0</v>
      </c>
      <c r="BD60" s="7"/>
      <c r="BE60" s="7"/>
      <c r="BF60" s="7" t="s">
        <v>1180</v>
      </c>
      <c r="BG60" s="7"/>
      <c r="BH60" s="7">
        <v>1</v>
      </c>
      <c r="BI60" s="7" t="s">
        <v>993</v>
      </c>
      <c r="BJ60" s="7" t="s">
        <v>1160</v>
      </c>
      <c r="BK60" s="7"/>
      <c r="BL60" s="7"/>
      <c r="BM60" s="7">
        <v>125</v>
      </c>
      <c r="BN60" s="7"/>
      <c r="BO60" s="7"/>
      <c r="BP60" s="7"/>
      <c r="BQ60" s="7"/>
      <c r="BR60" s="7"/>
      <c r="BS60" s="7"/>
      <c r="BT60" s="7"/>
      <c r="BU60" s="7"/>
      <c r="BV60" s="7"/>
      <c r="BW60" s="7" t="s">
        <v>976</v>
      </c>
      <c r="BX60" s="7"/>
      <c r="BY60" s="7" t="s">
        <v>990</v>
      </c>
      <c r="BZ60" s="7" t="s">
        <v>1104</v>
      </c>
    </row>
    <row r="61" spans="1:78" s="28" customFormat="1" x14ac:dyDescent="0.2">
      <c r="A61" s="20" t="s">
        <v>3541</v>
      </c>
      <c r="B61" s="27">
        <f>COUNTA(B3:B60)</f>
        <v>58</v>
      </c>
      <c r="C61" s="27">
        <f t="shared" ref="C61:BN61" si="0">COUNTA(C3:C60)</f>
        <v>51</v>
      </c>
      <c r="D61" s="27">
        <f t="shared" si="0"/>
        <v>49</v>
      </c>
      <c r="E61" s="27">
        <f t="shared" si="0"/>
        <v>4</v>
      </c>
      <c r="F61" s="27">
        <f t="shared" si="0"/>
        <v>37</v>
      </c>
      <c r="G61" s="27">
        <f t="shared" si="0"/>
        <v>1</v>
      </c>
      <c r="H61" s="27">
        <f t="shared" si="0"/>
        <v>4</v>
      </c>
      <c r="I61" s="27">
        <f t="shared" si="0"/>
        <v>51</v>
      </c>
      <c r="J61" s="27">
        <f t="shared" si="0"/>
        <v>22</v>
      </c>
      <c r="K61" s="27">
        <f t="shared" si="0"/>
        <v>22</v>
      </c>
      <c r="L61" s="27">
        <f t="shared" si="0"/>
        <v>1</v>
      </c>
      <c r="M61" s="27">
        <f t="shared" si="0"/>
        <v>51</v>
      </c>
      <c r="N61" s="27">
        <f t="shared" si="0"/>
        <v>47</v>
      </c>
      <c r="O61" s="27">
        <f t="shared" si="0"/>
        <v>2</v>
      </c>
      <c r="P61" s="27">
        <f t="shared" si="0"/>
        <v>52</v>
      </c>
      <c r="Q61" s="27">
        <f t="shared" si="0"/>
        <v>1</v>
      </c>
      <c r="R61" s="27">
        <f t="shared" si="0"/>
        <v>52</v>
      </c>
      <c r="S61" s="27">
        <f t="shared" si="0"/>
        <v>36</v>
      </c>
      <c r="T61" s="27">
        <f t="shared" si="0"/>
        <v>46</v>
      </c>
      <c r="U61" s="27">
        <f t="shared" si="0"/>
        <v>1</v>
      </c>
      <c r="V61" s="27">
        <f t="shared" si="0"/>
        <v>49</v>
      </c>
      <c r="W61" s="27">
        <f t="shared" si="0"/>
        <v>12</v>
      </c>
      <c r="X61" s="27">
        <f t="shared" si="0"/>
        <v>49</v>
      </c>
      <c r="Y61" s="27">
        <f t="shared" si="0"/>
        <v>50</v>
      </c>
      <c r="Z61" s="27">
        <f t="shared" si="0"/>
        <v>6</v>
      </c>
      <c r="AA61" s="27">
        <f t="shared" si="0"/>
        <v>0</v>
      </c>
      <c r="AB61" s="27">
        <f t="shared" si="0"/>
        <v>0</v>
      </c>
      <c r="AC61" s="27">
        <f t="shared" si="0"/>
        <v>1</v>
      </c>
      <c r="AD61" s="27">
        <f t="shared" si="0"/>
        <v>4</v>
      </c>
      <c r="AE61" s="27">
        <f t="shared" si="0"/>
        <v>45</v>
      </c>
      <c r="AF61" s="27">
        <f t="shared" si="0"/>
        <v>45</v>
      </c>
      <c r="AG61" s="27">
        <f t="shared" si="0"/>
        <v>2</v>
      </c>
      <c r="AH61" s="27">
        <f t="shared" si="0"/>
        <v>44</v>
      </c>
      <c r="AI61" s="27">
        <f t="shared" si="0"/>
        <v>2</v>
      </c>
      <c r="AJ61" s="27">
        <f t="shared" si="0"/>
        <v>0</v>
      </c>
      <c r="AK61" s="27">
        <f t="shared" si="0"/>
        <v>0</v>
      </c>
      <c r="AL61" s="27">
        <f t="shared" si="0"/>
        <v>0</v>
      </c>
      <c r="AM61" s="27">
        <f t="shared" si="0"/>
        <v>4</v>
      </c>
      <c r="AN61" s="27">
        <f t="shared" si="0"/>
        <v>5</v>
      </c>
      <c r="AO61" s="27">
        <f t="shared" si="0"/>
        <v>23</v>
      </c>
      <c r="AP61" s="27">
        <f t="shared" si="0"/>
        <v>49</v>
      </c>
      <c r="AQ61" s="27">
        <f t="shared" si="0"/>
        <v>3</v>
      </c>
      <c r="AR61" s="27">
        <f t="shared" si="0"/>
        <v>50</v>
      </c>
      <c r="AS61" s="27">
        <f t="shared" si="0"/>
        <v>0</v>
      </c>
      <c r="AT61" s="27">
        <f t="shared" si="0"/>
        <v>50</v>
      </c>
      <c r="AU61" s="27">
        <f t="shared" si="0"/>
        <v>10</v>
      </c>
      <c r="AV61" s="27">
        <f t="shared" si="0"/>
        <v>58</v>
      </c>
      <c r="AW61" s="27">
        <f t="shared" si="0"/>
        <v>43</v>
      </c>
      <c r="AX61" s="27">
        <f t="shared" si="0"/>
        <v>13</v>
      </c>
      <c r="AY61" s="27">
        <f t="shared" si="0"/>
        <v>44</v>
      </c>
      <c r="AZ61" s="27">
        <f t="shared" si="0"/>
        <v>44</v>
      </c>
      <c r="BA61" s="27">
        <f t="shared" si="0"/>
        <v>1</v>
      </c>
      <c r="BB61" s="27">
        <f t="shared" si="0"/>
        <v>44</v>
      </c>
      <c r="BC61" s="27">
        <f t="shared" si="0"/>
        <v>34</v>
      </c>
      <c r="BD61" s="27">
        <f t="shared" si="0"/>
        <v>10</v>
      </c>
      <c r="BE61" s="27">
        <f t="shared" si="0"/>
        <v>0</v>
      </c>
      <c r="BF61" s="27">
        <f t="shared" si="0"/>
        <v>44</v>
      </c>
      <c r="BG61" s="27">
        <f t="shared" si="0"/>
        <v>6</v>
      </c>
      <c r="BH61" s="27">
        <f t="shared" si="0"/>
        <v>40</v>
      </c>
      <c r="BI61" s="27">
        <f t="shared" si="0"/>
        <v>44</v>
      </c>
      <c r="BJ61" s="27">
        <f t="shared" si="0"/>
        <v>14</v>
      </c>
      <c r="BK61" s="27">
        <f t="shared" si="0"/>
        <v>1</v>
      </c>
      <c r="BL61" s="27">
        <f t="shared" si="0"/>
        <v>0</v>
      </c>
      <c r="BM61" s="27">
        <f t="shared" si="0"/>
        <v>10</v>
      </c>
      <c r="BN61" s="27">
        <f t="shared" si="0"/>
        <v>3</v>
      </c>
      <c r="BO61" s="27">
        <f t="shared" ref="BO61:BZ61" si="1">COUNTA(BO3:BO60)</f>
        <v>10</v>
      </c>
      <c r="BP61" s="27">
        <f t="shared" si="1"/>
        <v>10</v>
      </c>
      <c r="BQ61" s="27">
        <f t="shared" si="1"/>
        <v>1</v>
      </c>
      <c r="BR61" s="27">
        <f t="shared" si="1"/>
        <v>10</v>
      </c>
      <c r="BS61" s="27">
        <f t="shared" si="1"/>
        <v>0</v>
      </c>
      <c r="BT61" s="27">
        <f t="shared" si="1"/>
        <v>0</v>
      </c>
      <c r="BU61" s="27">
        <f t="shared" si="1"/>
        <v>0</v>
      </c>
      <c r="BV61" s="27">
        <f t="shared" si="1"/>
        <v>0</v>
      </c>
      <c r="BW61" s="27">
        <f t="shared" si="1"/>
        <v>43</v>
      </c>
      <c r="BX61" s="27">
        <f t="shared" si="1"/>
        <v>0</v>
      </c>
      <c r="BY61" s="27">
        <f t="shared" si="1"/>
        <v>43</v>
      </c>
      <c r="BZ61" s="27">
        <f t="shared" si="1"/>
        <v>42</v>
      </c>
    </row>
    <row r="62" spans="1:78" s="12" customFormat="1" x14ac:dyDescent="0.2">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26"/>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row>
    <row r="63" spans="1:78" s="12" customFormat="1" x14ac:dyDescent="0.2">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26"/>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row>
    <row r="64" spans="1:78" s="12" customFormat="1" x14ac:dyDescent="0.2">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26"/>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row>
    <row r="65" spans="2:78" s="12" customFormat="1" x14ac:dyDescent="0.2">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26"/>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row>
    <row r="66" spans="2:78" s="12" customFormat="1" x14ac:dyDescent="0.2">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26"/>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row>
    <row r="67" spans="2:78" s="12" customFormat="1" x14ac:dyDescent="0.2">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26"/>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row>
  </sheetData>
  <autoFilter ref="A2:BZ59" xr:uid="{00000000-0009-0000-0000-000003000000}"/>
  <sortState xmlns:xlrd2="http://schemas.microsoft.com/office/spreadsheetml/2017/richdata2" ref="A3:BZ60">
    <sortCondition ref="A3:A60"/>
  </sortState>
  <conditionalFormatting sqref="A3:A59">
    <cfRule type="duplicateValues" dxfId="29" priority="2"/>
    <cfRule type="duplicateValues" dxfId="28" priority="3"/>
  </conditionalFormatting>
  <conditionalFormatting sqref="A60">
    <cfRule type="duplicateValues" dxfId="27" priority="1"/>
  </conditionalFormatting>
  <hyperlinks>
    <hyperlink ref="A1" location="Index!A1" display="Back to Index" xr:uid="{00000000-0004-0000-0300-000000000000}"/>
  </hyperlink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W68"/>
  <sheetViews>
    <sheetView zoomScaleNormal="100" workbookViewId="0">
      <pane xSplit="1" ySplit="2" topLeftCell="B3" activePane="bottomRight" state="frozen"/>
      <selection sqref="A1:B1"/>
      <selection pane="topRight" sqref="A1:B1"/>
      <selection pane="bottomLeft" sqref="A1:B1"/>
      <selection pane="bottomRight" activeCell="B3" sqref="B3"/>
    </sheetView>
  </sheetViews>
  <sheetFormatPr defaultRowHeight="12.75" x14ac:dyDescent="0.2"/>
  <cols>
    <col min="1" max="1" width="13.5703125" style="6" bestFit="1" customWidth="1"/>
    <col min="2" max="14" width="30.7109375" style="7" customWidth="1"/>
    <col min="15" max="15" width="30.7109375" style="8" customWidth="1"/>
    <col min="16" max="19" width="30.7109375" style="7" customWidth="1"/>
    <col min="20" max="20" width="30.7109375" style="8" customWidth="1"/>
    <col min="21" max="25" width="30.7109375" style="7" customWidth="1"/>
    <col min="26" max="26" width="50.7109375" style="7" customWidth="1"/>
    <col min="27" max="29" width="30.7109375" style="7" customWidth="1"/>
    <col min="30" max="30" width="30.7109375" style="8" customWidth="1"/>
    <col min="31" max="57" width="30.7109375" style="7" customWidth="1"/>
    <col min="58" max="58" width="30.7109375" style="8" customWidth="1"/>
    <col min="59" max="62" width="30.7109375" style="7" customWidth="1"/>
    <col min="63" max="63" width="30.7109375" style="8" customWidth="1"/>
    <col min="64" max="87" width="30.7109375" style="7" customWidth="1"/>
    <col min="88" max="88" width="30.7109375" style="8" customWidth="1"/>
    <col min="89" max="91" width="30.7109375" style="7" customWidth="1"/>
    <col min="92" max="92" width="30.7109375" style="8" customWidth="1"/>
    <col min="93" max="101" width="30.7109375" style="7" customWidth="1"/>
    <col min="102" max="16384" width="9.140625" style="6"/>
  </cols>
  <sheetData>
    <row r="1" spans="1:101" s="3" customFormat="1" x14ac:dyDescent="0.2">
      <c r="A1" s="19" t="s">
        <v>969</v>
      </c>
      <c r="B1" s="1" t="s">
        <v>165</v>
      </c>
      <c r="C1" s="1" t="s">
        <v>166</v>
      </c>
      <c r="D1" s="1" t="s">
        <v>167</v>
      </c>
      <c r="E1" s="1" t="s">
        <v>168</v>
      </c>
      <c r="F1" s="1" t="s">
        <v>169</v>
      </c>
      <c r="G1" s="1" t="s">
        <v>170</v>
      </c>
      <c r="H1" s="1" t="s">
        <v>171</v>
      </c>
      <c r="I1" s="1" t="s">
        <v>172</v>
      </c>
      <c r="J1" s="1" t="s">
        <v>173</v>
      </c>
      <c r="K1" s="1" t="s">
        <v>174</v>
      </c>
      <c r="L1" s="1" t="s">
        <v>175</v>
      </c>
      <c r="M1" s="1" t="s">
        <v>176</v>
      </c>
      <c r="N1" s="1" t="s">
        <v>177</v>
      </c>
      <c r="O1" s="2" t="s">
        <v>178</v>
      </c>
      <c r="P1" s="1" t="s">
        <v>179</v>
      </c>
      <c r="Q1" s="1" t="s">
        <v>180</v>
      </c>
      <c r="R1" s="1" t="s">
        <v>181</v>
      </c>
      <c r="S1" s="1" t="s">
        <v>182</v>
      </c>
      <c r="T1" s="2" t="s">
        <v>183</v>
      </c>
      <c r="U1" s="1" t="s">
        <v>184</v>
      </c>
      <c r="V1" s="1" t="s">
        <v>185</v>
      </c>
      <c r="W1" s="1" t="s">
        <v>186</v>
      </c>
      <c r="X1" s="1" t="s">
        <v>187</v>
      </c>
      <c r="Y1" s="1" t="s">
        <v>188</v>
      </c>
      <c r="Z1" s="1" t="s">
        <v>189</v>
      </c>
      <c r="AA1" s="1" t="s">
        <v>190</v>
      </c>
      <c r="AB1" s="1" t="s">
        <v>191</v>
      </c>
      <c r="AC1" s="1" t="s">
        <v>192</v>
      </c>
      <c r="AD1" s="2" t="s">
        <v>193</v>
      </c>
      <c r="AE1" s="1" t="s">
        <v>194</v>
      </c>
      <c r="AF1" s="1" t="s">
        <v>195</v>
      </c>
      <c r="AG1" s="1" t="s">
        <v>196</v>
      </c>
      <c r="AH1" s="1" t="s">
        <v>197</v>
      </c>
      <c r="AI1" s="1" t="s">
        <v>198</v>
      </c>
      <c r="AJ1" s="1" t="s">
        <v>199</v>
      </c>
      <c r="AK1" s="1" t="s">
        <v>200</v>
      </c>
      <c r="AL1" s="1" t="s">
        <v>201</v>
      </c>
      <c r="AM1" s="1" t="s">
        <v>202</v>
      </c>
      <c r="AN1" s="1" t="s">
        <v>203</v>
      </c>
      <c r="AO1" s="1" t="s">
        <v>204</v>
      </c>
      <c r="AP1" s="1" t="s">
        <v>205</v>
      </c>
      <c r="AQ1" s="1" t="s">
        <v>206</v>
      </c>
      <c r="AR1" s="1" t="s">
        <v>207</v>
      </c>
      <c r="AS1" s="1" t="s">
        <v>208</v>
      </c>
      <c r="AT1" s="1" t="s">
        <v>209</v>
      </c>
      <c r="AU1" s="1" t="s">
        <v>210</v>
      </c>
      <c r="AV1" s="1" t="s">
        <v>211</v>
      </c>
      <c r="AW1" s="1" t="s">
        <v>212</v>
      </c>
      <c r="AX1" s="1" t="s">
        <v>213</v>
      </c>
      <c r="AY1" s="1" t="s">
        <v>214</v>
      </c>
      <c r="AZ1" s="1" t="s">
        <v>215</v>
      </c>
      <c r="BA1" s="1" t="s">
        <v>216</v>
      </c>
      <c r="BB1" s="1" t="s">
        <v>217</v>
      </c>
      <c r="BC1" s="1" t="s">
        <v>218</v>
      </c>
      <c r="BD1" s="1" t="s">
        <v>219</v>
      </c>
      <c r="BE1" s="1" t="s">
        <v>220</v>
      </c>
      <c r="BF1" s="2" t="s">
        <v>221</v>
      </c>
      <c r="BG1" s="1" t="s">
        <v>222</v>
      </c>
      <c r="BH1" s="1" t="s">
        <v>223</v>
      </c>
      <c r="BI1" s="1" t="s">
        <v>224</v>
      </c>
      <c r="BJ1" s="1" t="s">
        <v>225</v>
      </c>
      <c r="BK1" s="2" t="s">
        <v>226</v>
      </c>
      <c r="BL1" s="1" t="s">
        <v>227</v>
      </c>
      <c r="BM1" s="1" t="s">
        <v>228</v>
      </c>
      <c r="BN1" s="1" t="s">
        <v>229</v>
      </c>
      <c r="BO1" s="1" t="s">
        <v>230</v>
      </c>
      <c r="BP1" s="1" t="s">
        <v>231</v>
      </c>
      <c r="BQ1" s="1" t="s">
        <v>232</v>
      </c>
      <c r="BR1" s="1" t="s">
        <v>233</v>
      </c>
      <c r="BS1" s="1" t="s">
        <v>234</v>
      </c>
      <c r="BT1" s="1" t="s">
        <v>235</v>
      </c>
      <c r="BU1" s="1" t="s">
        <v>236</v>
      </c>
      <c r="BV1" s="1" t="s">
        <v>237</v>
      </c>
      <c r="BW1" s="1" t="s">
        <v>238</v>
      </c>
      <c r="BX1" s="1" t="s">
        <v>239</v>
      </c>
      <c r="BY1" s="1" t="s">
        <v>240</v>
      </c>
      <c r="BZ1" s="1" t="s">
        <v>241</v>
      </c>
      <c r="CA1" s="1" t="s">
        <v>242</v>
      </c>
      <c r="CB1" s="1" t="s">
        <v>243</v>
      </c>
      <c r="CC1" s="1" t="s">
        <v>244</v>
      </c>
      <c r="CD1" s="1" t="s">
        <v>245</v>
      </c>
      <c r="CE1" s="1" t="s">
        <v>246</v>
      </c>
      <c r="CF1" s="1" t="s">
        <v>247</v>
      </c>
      <c r="CG1" s="1" t="s">
        <v>248</v>
      </c>
      <c r="CH1" s="1" t="s">
        <v>249</v>
      </c>
      <c r="CI1" s="1" t="s">
        <v>250</v>
      </c>
      <c r="CJ1" s="2" t="s">
        <v>251</v>
      </c>
      <c r="CK1" s="1" t="s">
        <v>252</v>
      </c>
      <c r="CL1" s="1" t="s">
        <v>253</v>
      </c>
      <c r="CM1" s="1" t="s">
        <v>254</v>
      </c>
      <c r="CN1" s="2" t="s">
        <v>255</v>
      </c>
      <c r="CO1" s="1" t="s">
        <v>256</v>
      </c>
      <c r="CP1" s="1" t="s">
        <v>257</v>
      </c>
      <c r="CQ1" s="1" t="s">
        <v>258</v>
      </c>
      <c r="CR1" s="1" t="s">
        <v>259</v>
      </c>
      <c r="CS1" s="1" t="s">
        <v>260</v>
      </c>
      <c r="CT1" s="1" t="s">
        <v>261</v>
      </c>
      <c r="CU1" s="1" t="s">
        <v>262</v>
      </c>
      <c r="CV1" s="1" t="s">
        <v>263</v>
      </c>
      <c r="CW1" s="1" t="s">
        <v>264</v>
      </c>
    </row>
    <row r="2" spans="1:101" s="3" customFormat="1" ht="63.75" x14ac:dyDescent="0.2">
      <c r="A2" s="3" t="s">
        <v>968</v>
      </c>
      <c r="B2" s="4" t="s">
        <v>2807</v>
      </c>
      <c r="C2" s="1" t="s">
        <v>2808</v>
      </c>
      <c r="D2" s="1" t="s">
        <v>2809</v>
      </c>
      <c r="E2" s="4" t="s">
        <v>2810</v>
      </c>
      <c r="F2" s="1" t="s">
        <v>2811</v>
      </c>
      <c r="G2" s="1" t="s">
        <v>2812</v>
      </c>
      <c r="H2" s="4" t="s">
        <v>2813</v>
      </c>
      <c r="I2" s="4" t="s">
        <v>2760</v>
      </c>
      <c r="J2" s="1" t="s">
        <v>2814</v>
      </c>
      <c r="K2" s="1" t="s">
        <v>2815</v>
      </c>
      <c r="L2" s="4" t="s">
        <v>2816</v>
      </c>
      <c r="M2" s="1" t="s">
        <v>2817</v>
      </c>
      <c r="N2" s="1" t="s">
        <v>2818</v>
      </c>
      <c r="O2" s="2" t="s">
        <v>2819</v>
      </c>
      <c r="P2" s="1" t="s">
        <v>2820</v>
      </c>
      <c r="Q2" s="1" t="s">
        <v>2821</v>
      </c>
      <c r="R2" s="1" t="s">
        <v>3425</v>
      </c>
      <c r="S2" s="1" t="s">
        <v>3422</v>
      </c>
      <c r="T2" s="5" t="s">
        <v>2823</v>
      </c>
      <c r="U2" s="1" t="s">
        <v>2824</v>
      </c>
      <c r="V2" s="4" t="s">
        <v>2767</v>
      </c>
      <c r="W2" s="4" t="s">
        <v>2768</v>
      </c>
      <c r="X2" s="4" t="s">
        <v>2769</v>
      </c>
      <c r="Y2" s="4" t="s">
        <v>2709</v>
      </c>
      <c r="Z2" s="4" t="s">
        <v>2770</v>
      </c>
      <c r="AA2" s="1" t="s">
        <v>2825</v>
      </c>
      <c r="AB2" s="4" t="s">
        <v>2826</v>
      </c>
      <c r="AC2" s="4" t="s">
        <v>2827</v>
      </c>
      <c r="AD2" s="2" t="s">
        <v>2828</v>
      </c>
      <c r="AE2" s="1" t="s">
        <v>2829</v>
      </c>
      <c r="AF2" s="1" t="s">
        <v>3423</v>
      </c>
      <c r="AG2" s="4" t="s">
        <v>2830</v>
      </c>
      <c r="AH2" s="4" t="s">
        <v>2831</v>
      </c>
      <c r="AI2" s="1" t="s">
        <v>2832</v>
      </c>
      <c r="AJ2" s="4" t="s">
        <v>2833</v>
      </c>
      <c r="AK2" s="4" t="s">
        <v>2834</v>
      </c>
      <c r="AL2" s="1" t="s">
        <v>2835</v>
      </c>
      <c r="AM2" s="1" t="s">
        <v>2836</v>
      </c>
      <c r="AN2" s="1" t="s">
        <v>3424</v>
      </c>
      <c r="AO2" s="4" t="s">
        <v>2837</v>
      </c>
      <c r="AP2" s="4" t="s">
        <v>2838</v>
      </c>
      <c r="AQ2" s="1" t="s">
        <v>2810</v>
      </c>
      <c r="AR2" s="4" t="s">
        <v>2839</v>
      </c>
      <c r="AS2" s="4" t="s">
        <v>2840</v>
      </c>
      <c r="AT2" s="1" t="s">
        <v>2841</v>
      </c>
      <c r="AU2" s="1" t="s">
        <v>2760</v>
      </c>
      <c r="AV2" s="4" t="s">
        <v>2842</v>
      </c>
      <c r="AW2" s="4" t="s">
        <v>2843</v>
      </c>
      <c r="AX2" s="1" t="s">
        <v>2844</v>
      </c>
      <c r="AY2" s="1" t="s">
        <v>2845</v>
      </c>
      <c r="AZ2" s="4" t="s">
        <v>2814</v>
      </c>
      <c r="BA2" s="4" t="s">
        <v>2815</v>
      </c>
      <c r="BB2" s="1" t="s">
        <v>2846</v>
      </c>
      <c r="BC2" s="4" t="s">
        <v>2747</v>
      </c>
      <c r="BD2" s="1" t="s">
        <v>2817</v>
      </c>
      <c r="BE2" s="1" t="s">
        <v>2818</v>
      </c>
      <c r="BF2" s="2" t="s">
        <v>2819</v>
      </c>
      <c r="BG2" s="1" t="s">
        <v>2820</v>
      </c>
      <c r="BH2" s="1" t="s">
        <v>2821</v>
      </c>
      <c r="BI2" s="1" t="s">
        <v>3425</v>
      </c>
      <c r="BJ2" s="1" t="s">
        <v>3426</v>
      </c>
      <c r="BK2" s="5" t="s">
        <v>2847</v>
      </c>
      <c r="BL2" s="1" t="s">
        <v>2824</v>
      </c>
      <c r="BM2" s="4" t="s">
        <v>2767</v>
      </c>
      <c r="BN2" s="4" t="s">
        <v>2768</v>
      </c>
      <c r="BO2" s="4" t="s">
        <v>2769</v>
      </c>
      <c r="BP2" s="4" t="s">
        <v>2709</v>
      </c>
      <c r="BQ2" s="4" t="s">
        <v>2770</v>
      </c>
      <c r="BR2" s="1" t="s">
        <v>2848</v>
      </c>
      <c r="BS2" s="1" t="s">
        <v>3427</v>
      </c>
      <c r="BT2" s="4" t="s">
        <v>2849</v>
      </c>
      <c r="BU2" s="4" t="s">
        <v>2850</v>
      </c>
      <c r="BV2" s="1" t="s">
        <v>2851</v>
      </c>
      <c r="BW2" s="4" t="s">
        <v>2852</v>
      </c>
      <c r="BX2" s="4" t="s">
        <v>2853</v>
      </c>
      <c r="BY2" s="1" t="s">
        <v>2810</v>
      </c>
      <c r="BZ2" s="4" t="s">
        <v>2854</v>
      </c>
      <c r="CA2" s="4" t="s">
        <v>2855</v>
      </c>
      <c r="CB2" s="1" t="s">
        <v>2856</v>
      </c>
      <c r="CC2" s="1" t="s">
        <v>2760</v>
      </c>
      <c r="CD2" s="4" t="s">
        <v>2857</v>
      </c>
      <c r="CE2" s="4" t="s">
        <v>2858</v>
      </c>
      <c r="CF2" s="1" t="s">
        <v>2859</v>
      </c>
      <c r="CG2" s="4" t="s">
        <v>2747</v>
      </c>
      <c r="CH2" s="1" t="s">
        <v>2817</v>
      </c>
      <c r="CI2" s="1" t="s">
        <v>2818</v>
      </c>
      <c r="CJ2" s="2" t="s">
        <v>2819</v>
      </c>
      <c r="CK2" s="1" t="s">
        <v>2820</v>
      </c>
      <c r="CL2" s="1" t="s">
        <v>3425</v>
      </c>
      <c r="CM2" s="1" t="s">
        <v>3422</v>
      </c>
      <c r="CN2" s="5" t="s">
        <v>2860</v>
      </c>
      <c r="CO2" s="1" t="s">
        <v>2824</v>
      </c>
      <c r="CP2" s="4" t="s">
        <v>2767</v>
      </c>
      <c r="CQ2" s="4" t="s">
        <v>2768</v>
      </c>
      <c r="CR2" s="4" t="s">
        <v>2769</v>
      </c>
      <c r="CS2" s="4" t="s">
        <v>2709</v>
      </c>
      <c r="CT2" s="4" t="s">
        <v>2711</v>
      </c>
      <c r="CU2" s="1" t="s">
        <v>2861</v>
      </c>
      <c r="CV2" s="1" t="s">
        <v>3428</v>
      </c>
      <c r="CW2" s="4" t="s">
        <v>2862</v>
      </c>
    </row>
    <row r="3" spans="1:101" x14ac:dyDescent="0.2">
      <c r="A3" s="14" t="s">
        <v>922</v>
      </c>
      <c r="B3" s="15" t="s">
        <v>972</v>
      </c>
      <c r="C3" s="15" t="s">
        <v>972</v>
      </c>
      <c r="D3" s="15">
        <v>2</v>
      </c>
      <c r="E3" s="15" t="s">
        <v>976</v>
      </c>
      <c r="F3" s="15" t="s">
        <v>977</v>
      </c>
      <c r="G3" s="15"/>
      <c r="H3" s="15" t="s">
        <v>972</v>
      </c>
      <c r="I3" s="15">
        <v>0</v>
      </c>
      <c r="J3" s="15" t="s">
        <v>1260</v>
      </c>
      <c r="K3" s="15"/>
      <c r="L3" s="15">
        <v>0</v>
      </c>
      <c r="M3" s="15" t="s">
        <v>1261</v>
      </c>
      <c r="N3" s="15"/>
      <c r="O3" s="16"/>
      <c r="P3" s="15" t="s">
        <v>990</v>
      </c>
      <c r="Q3" s="15" t="s">
        <v>1295</v>
      </c>
      <c r="R3" s="15"/>
      <c r="S3" s="15"/>
      <c r="T3" s="16">
        <v>1550000</v>
      </c>
      <c r="U3" s="15" t="s">
        <v>982</v>
      </c>
      <c r="V3" s="15"/>
      <c r="W3" s="15"/>
      <c r="X3" s="15"/>
      <c r="Y3" s="15"/>
      <c r="Z3" s="15"/>
      <c r="AA3" s="15" t="s">
        <v>976</v>
      </c>
      <c r="AB3" s="15"/>
      <c r="AC3" s="15"/>
      <c r="AD3" s="16"/>
      <c r="AE3" s="15" t="s">
        <v>976</v>
      </c>
      <c r="AF3" s="15"/>
      <c r="AG3" s="15" t="s">
        <v>990</v>
      </c>
      <c r="AH3" s="15" t="s">
        <v>1168</v>
      </c>
      <c r="AI3" s="15" t="s">
        <v>976</v>
      </c>
      <c r="AJ3" s="15"/>
      <c r="AK3" s="15"/>
      <c r="AL3" s="15"/>
      <c r="AM3" s="15"/>
      <c r="AN3" s="15"/>
      <c r="AO3" s="15"/>
      <c r="AP3" s="15"/>
      <c r="AQ3" s="15"/>
      <c r="AR3" s="15"/>
      <c r="AS3" s="15"/>
      <c r="AT3" s="15"/>
      <c r="AU3" s="15"/>
      <c r="AV3" s="15"/>
      <c r="AW3" s="15"/>
      <c r="AX3" s="15"/>
      <c r="AY3" s="15"/>
      <c r="AZ3" s="15"/>
      <c r="BA3" s="15"/>
      <c r="BB3" s="15"/>
      <c r="BC3" s="15"/>
      <c r="BD3" s="15"/>
      <c r="BE3" s="15"/>
      <c r="BF3" s="16"/>
      <c r="BG3" s="15"/>
      <c r="BH3" s="15"/>
      <c r="BI3" s="15"/>
      <c r="BJ3" s="15"/>
      <c r="BK3" s="16"/>
      <c r="BL3" s="15"/>
      <c r="BM3" s="15"/>
      <c r="BN3" s="15"/>
      <c r="BO3" s="15"/>
      <c r="BP3" s="15"/>
      <c r="BQ3" s="15"/>
      <c r="BR3" s="15"/>
      <c r="BS3" s="15"/>
      <c r="BT3" s="15"/>
      <c r="BU3" s="15"/>
      <c r="BV3" s="15" t="s">
        <v>972</v>
      </c>
      <c r="BW3" s="15" t="s">
        <v>976</v>
      </c>
      <c r="BX3" s="15"/>
      <c r="BY3" s="15"/>
      <c r="BZ3" s="15" t="s">
        <v>1036</v>
      </c>
      <c r="CA3" s="15"/>
      <c r="CB3" s="15" t="s">
        <v>972</v>
      </c>
      <c r="CC3" s="15">
        <v>0</v>
      </c>
      <c r="CD3" s="15" t="s">
        <v>1260</v>
      </c>
      <c r="CE3" s="15"/>
      <c r="CF3" s="15">
        <v>0</v>
      </c>
      <c r="CG3" s="15" t="s">
        <v>1191</v>
      </c>
      <c r="CH3" s="15" t="s">
        <v>1040</v>
      </c>
      <c r="CI3" s="15" t="s">
        <v>972</v>
      </c>
      <c r="CJ3" s="16">
        <v>50000</v>
      </c>
      <c r="CK3" s="15"/>
      <c r="CL3" s="15"/>
      <c r="CM3" s="15"/>
      <c r="CN3" s="16">
        <v>50000</v>
      </c>
      <c r="CO3" s="15" t="s">
        <v>982</v>
      </c>
      <c r="CP3" s="15"/>
      <c r="CQ3" s="15"/>
      <c r="CR3" s="15"/>
      <c r="CS3" s="15"/>
      <c r="CT3" s="15"/>
      <c r="CU3" s="15" t="s">
        <v>976</v>
      </c>
      <c r="CV3" s="15"/>
      <c r="CW3" s="15"/>
    </row>
    <row r="4" spans="1:101" x14ac:dyDescent="0.2">
      <c r="A4" s="6" t="s">
        <v>930</v>
      </c>
      <c r="B4" s="7" t="s">
        <v>972</v>
      </c>
      <c r="C4" s="7" t="s">
        <v>976</v>
      </c>
      <c r="F4" s="7" t="s">
        <v>977</v>
      </c>
      <c r="H4" s="7" t="s">
        <v>972</v>
      </c>
      <c r="I4" s="7">
        <v>0</v>
      </c>
      <c r="J4" s="7" t="s">
        <v>1260</v>
      </c>
      <c r="L4" s="7">
        <v>0</v>
      </c>
      <c r="M4" s="7" t="s">
        <v>1261</v>
      </c>
      <c r="P4" s="7" t="s">
        <v>1262</v>
      </c>
      <c r="U4" s="7" t="s">
        <v>982</v>
      </c>
      <c r="AA4" s="7" t="s">
        <v>976</v>
      </c>
      <c r="AE4" s="7" t="s">
        <v>976</v>
      </c>
      <c r="AG4" s="7" t="s">
        <v>1268</v>
      </c>
      <c r="AI4" s="7" t="s">
        <v>1023</v>
      </c>
      <c r="BV4" s="7" t="s">
        <v>976</v>
      </c>
    </row>
    <row r="5" spans="1:101" x14ac:dyDescent="0.2">
      <c r="A5" s="6" t="s">
        <v>927</v>
      </c>
      <c r="B5" s="7" t="s">
        <v>972</v>
      </c>
      <c r="C5" s="7" t="s">
        <v>972</v>
      </c>
      <c r="D5" s="7">
        <v>5</v>
      </c>
      <c r="E5" s="7" t="s">
        <v>972</v>
      </c>
      <c r="F5" s="7" t="s">
        <v>977</v>
      </c>
      <c r="H5" s="7" t="s">
        <v>972</v>
      </c>
      <c r="I5" s="7">
        <v>0</v>
      </c>
      <c r="J5" s="7" t="s">
        <v>1260</v>
      </c>
      <c r="L5" s="7">
        <v>0</v>
      </c>
      <c r="M5" s="7" t="s">
        <v>1261</v>
      </c>
      <c r="P5" s="7" t="s">
        <v>1262</v>
      </c>
      <c r="U5" s="7" t="s">
        <v>982</v>
      </c>
      <c r="AA5" s="7" t="s">
        <v>976</v>
      </c>
      <c r="AE5" s="7" t="s">
        <v>976</v>
      </c>
      <c r="AG5" s="7" t="s">
        <v>990</v>
      </c>
      <c r="AH5" s="7" t="s">
        <v>1301</v>
      </c>
      <c r="AI5" s="7" t="s">
        <v>976</v>
      </c>
      <c r="BV5" s="7" t="s">
        <v>976</v>
      </c>
    </row>
    <row r="6" spans="1:101" x14ac:dyDescent="0.2">
      <c r="A6" s="6" t="s">
        <v>914</v>
      </c>
      <c r="B6" s="7" t="s">
        <v>972</v>
      </c>
      <c r="C6" s="7" t="s">
        <v>976</v>
      </c>
      <c r="F6" s="7" t="s">
        <v>977</v>
      </c>
      <c r="H6" s="7" t="s">
        <v>976</v>
      </c>
      <c r="J6" s="7" t="s">
        <v>1260</v>
      </c>
      <c r="L6" s="7">
        <v>0</v>
      </c>
      <c r="M6" s="7" t="s">
        <v>1040</v>
      </c>
      <c r="N6" s="7" t="s">
        <v>972</v>
      </c>
      <c r="O6" s="8">
        <v>700000</v>
      </c>
      <c r="T6" s="8">
        <v>700000</v>
      </c>
      <c r="U6" s="7" t="s">
        <v>982</v>
      </c>
      <c r="AA6" s="7" t="s">
        <v>976</v>
      </c>
      <c r="AE6" s="7" t="s">
        <v>976</v>
      </c>
      <c r="AG6" s="7" t="s">
        <v>1268</v>
      </c>
      <c r="AI6" s="7" t="s">
        <v>976</v>
      </c>
      <c r="BV6" s="7" t="s">
        <v>976</v>
      </c>
    </row>
    <row r="7" spans="1:101" x14ac:dyDescent="0.2">
      <c r="A7" s="6" t="s">
        <v>920</v>
      </c>
      <c r="B7" s="7" t="s">
        <v>972</v>
      </c>
      <c r="C7" s="7" t="s">
        <v>976</v>
      </c>
      <c r="F7" s="7" t="s">
        <v>977</v>
      </c>
      <c r="H7" s="7" t="s">
        <v>972</v>
      </c>
      <c r="I7" s="7">
        <v>20</v>
      </c>
      <c r="J7" s="7" t="s">
        <v>1260</v>
      </c>
      <c r="L7" s="7">
        <v>0</v>
      </c>
      <c r="M7" s="7" t="s">
        <v>1261</v>
      </c>
      <c r="P7" s="7" t="s">
        <v>1292</v>
      </c>
      <c r="U7" s="7" t="s">
        <v>982</v>
      </c>
      <c r="AA7" s="7" t="s">
        <v>976</v>
      </c>
      <c r="AE7" s="7" t="s">
        <v>976</v>
      </c>
      <c r="AG7" s="7" t="s">
        <v>1268</v>
      </c>
      <c r="AI7" s="7" t="s">
        <v>976</v>
      </c>
      <c r="BV7" s="7" t="s">
        <v>976</v>
      </c>
    </row>
    <row r="8" spans="1:101" x14ac:dyDescent="0.2">
      <c r="A8" s="6" t="s">
        <v>959</v>
      </c>
      <c r="B8" s="7" t="s">
        <v>972</v>
      </c>
      <c r="C8" s="7" t="s">
        <v>976</v>
      </c>
      <c r="F8" s="7" t="s">
        <v>977</v>
      </c>
      <c r="H8" s="7" t="s">
        <v>972</v>
      </c>
      <c r="I8" s="7">
        <v>20</v>
      </c>
      <c r="J8" s="7" t="s">
        <v>1260</v>
      </c>
      <c r="L8" s="7">
        <v>0</v>
      </c>
      <c r="M8" s="7" t="s">
        <v>1261</v>
      </c>
      <c r="P8" s="7" t="s">
        <v>1292</v>
      </c>
      <c r="T8" s="8">
        <v>1500000</v>
      </c>
      <c r="U8" s="7" t="s">
        <v>982</v>
      </c>
      <c r="AA8" s="7" t="s">
        <v>976</v>
      </c>
      <c r="AE8" s="7" t="s">
        <v>976</v>
      </c>
      <c r="AG8" s="7" t="s">
        <v>990</v>
      </c>
      <c r="AH8" s="7" t="s">
        <v>1168</v>
      </c>
      <c r="AI8" s="7" t="s">
        <v>976</v>
      </c>
      <c r="BV8" s="7" t="s">
        <v>976</v>
      </c>
    </row>
    <row r="9" spans="1:101" x14ac:dyDescent="0.2">
      <c r="A9" s="6" t="s">
        <v>933</v>
      </c>
      <c r="B9" s="7" t="s">
        <v>972</v>
      </c>
      <c r="C9" s="7" t="s">
        <v>976</v>
      </c>
      <c r="F9" s="7" t="s">
        <v>977</v>
      </c>
      <c r="H9" s="7" t="s">
        <v>972</v>
      </c>
      <c r="I9" s="7">
        <v>8</v>
      </c>
      <c r="J9" s="7" t="s">
        <v>1260</v>
      </c>
      <c r="L9" s="7">
        <v>0</v>
      </c>
      <c r="M9" s="7" t="s">
        <v>1261</v>
      </c>
      <c r="P9" s="7" t="s">
        <v>1262</v>
      </c>
      <c r="T9" s="8">
        <v>1250000</v>
      </c>
      <c r="U9" s="7" t="s">
        <v>982</v>
      </c>
      <c r="AA9" s="7" t="s">
        <v>976</v>
      </c>
      <c r="AE9" s="7" t="s">
        <v>976</v>
      </c>
      <c r="AG9" s="7" t="s">
        <v>1268</v>
      </c>
      <c r="AI9" s="7" t="s">
        <v>976</v>
      </c>
      <c r="BV9" s="7" t="s">
        <v>976</v>
      </c>
    </row>
    <row r="10" spans="1:101" ht="25.5" x14ac:dyDescent="0.2">
      <c r="A10" s="6" t="s">
        <v>912</v>
      </c>
      <c r="B10" s="7" t="s">
        <v>972</v>
      </c>
      <c r="C10" s="7" t="s">
        <v>972</v>
      </c>
      <c r="D10" s="7">
        <v>8</v>
      </c>
      <c r="E10" s="7" t="s">
        <v>972</v>
      </c>
      <c r="F10" s="7" t="s">
        <v>977</v>
      </c>
      <c r="H10" s="7" t="s">
        <v>972</v>
      </c>
      <c r="J10" s="7" t="s">
        <v>1260</v>
      </c>
      <c r="L10" s="7">
        <v>0</v>
      </c>
      <c r="M10" s="7" t="s">
        <v>1261</v>
      </c>
      <c r="P10" s="7" t="s">
        <v>990</v>
      </c>
      <c r="Q10" s="7" t="s">
        <v>1264</v>
      </c>
      <c r="U10" s="7" t="s">
        <v>993</v>
      </c>
      <c r="V10" s="7" t="s">
        <v>994</v>
      </c>
      <c r="Z10" s="7" t="s">
        <v>1162</v>
      </c>
      <c r="AA10" s="7" t="s">
        <v>972</v>
      </c>
      <c r="AB10" s="7" t="s">
        <v>1258</v>
      </c>
      <c r="AE10" s="7" t="s">
        <v>976</v>
      </c>
      <c r="AG10" s="7" t="s">
        <v>1008</v>
      </c>
      <c r="AI10" s="7" t="s">
        <v>972</v>
      </c>
      <c r="AJ10" s="7" t="s">
        <v>1003</v>
      </c>
      <c r="AL10" s="7" t="s">
        <v>1166</v>
      </c>
      <c r="AO10" s="7" t="s">
        <v>976</v>
      </c>
      <c r="AR10" s="7" t="s">
        <v>977</v>
      </c>
      <c r="AT10" s="7" t="s">
        <v>972</v>
      </c>
      <c r="AV10" s="7" t="s">
        <v>1265</v>
      </c>
      <c r="BB10" s="7">
        <v>0</v>
      </c>
      <c r="BC10" s="7" t="s">
        <v>1191</v>
      </c>
      <c r="BD10" s="7" t="s">
        <v>1261</v>
      </c>
      <c r="BL10" s="7" t="s">
        <v>982</v>
      </c>
      <c r="BR10" s="7" t="s">
        <v>976</v>
      </c>
      <c r="BT10" s="7" t="s">
        <v>990</v>
      </c>
      <c r="BU10" s="7" t="s">
        <v>1266</v>
      </c>
      <c r="BV10" s="7" t="s">
        <v>972</v>
      </c>
      <c r="BW10" s="7" t="s">
        <v>972</v>
      </c>
      <c r="BX10" s="7">
        <v>20</v>
      </c>
      <c r="BY10" s="7" t="s">
        <v>972</v>
      </c>
      <c r="BZ10" s="7" t="s">
        <v>977</v>
      </c>
      <c r="CB10" s="7" t="s">
        <v>972</v>
      </c>
      <c r="CD10" s="7" t="s">
        <v>990</v>
      </c>
      <c r="CE10" s="7" t="s">
        <v>1267</v>
      </c>
      <c r="CF10" s="7">
        <v>0</v>
      </c>
      <c r="CG10" s="7" t="s">
        <v>1156</v>
      </c>
      <c r="CH10" s="7" t="s">
        <v>1040</v>
      </c>
      <c r="CI10" s="7" t="s">
        <v>972</v>
      </c>
      <c r="CN10" s="8">
        <v>500000</v>
      </c>
      <c r="CO10" s="7" t="s">
        <v>993</v>
      </c>
      <c r="CP10" s="7" t="s">
        <v>994</v>
      </c>
      <c r="CT10" s="7" t="s">
        <v>1162</v>
      </c>
      <c r="CU10" s="7" t="s">
        <v>976</v>
      </c>
      <c r="CW10" s="7" t="s">
        <v>1268</v>
      </c>
    </row>
    <row r="11" spans="1:101" x14ac:dyDescent="0.2">
      <c r="A11" s="6" t="s">
        <v>936</v>
      </c>
      <c r="B11" s="7" t="s">
        <v>972</v>
      </c>
      <c r="C11" s="7" t="s">
        <v>976</v>
      </c>
      <c r="F11" s="7" t="s">
        <v>977</v>
      </c>
      <c r="H11" s="7" t="s">
        <v>972</v>
      </c>
      <c r="I11" s="7">
        <v>20</v>
      </c>
      <c r="J11" s="7" t="s">
        <v>1279</v>
      </c>
      <c r="L11" s="7">
        <v>0</v>
      </c>
      <c r="M11" s="7" t="s">
        <v>1261</v>
      </c>
      <c r="P11" s="7" t="s">
        <v>1262</v>
      </c>
      <c r="U11" s="7" t="s">
        <v>982</v>
      </c>
      <c r="AA11" s="7" t="s">
        <v>976</v>
      </c>
      <c r="AE11" s="7" t="s">
        <v>976</v>
      </c>
      <c r="AG11" s="7" t="s">
        <v>990</v>
      </c>
      <c r="AH11" s="7" t="s">
        <v>1309</v>
      </c>
      <c r="AI11" s="7" t="s">
        <v>976</v>
      </c>
      <c r="BV11" s="7" t="s">
        <v>976</v>
      </c>
    </row>
    <row r="12" spans="1:101" x14ac:dyDescent="0.2">
      <c r="A12" s="6" t="s">
        <v>911</v>
      </c>
      <c r="B12" s="7" t="s">
        <v>972</v>
      </c>
      <c r="C12" s="7" t="s">
        <v>976</v>
      </c>
      <c r="F12" s="7" t="s">
        <v>977</v>
      </c>
      <c r="H12" s="7" t="s">
        <v>972</v>
      </c>
      <c r="I12" s="7">
        <v>0</v>
      </c>
      <c r="J12" s="7" t="s">
        <v>1260</v>
      </c>
      <c r="L12" s="7">
        <v>90</v>
      </c>
      <c r="M12" s="7" t="s">
        <v>1261</v>
      </c>
      <c r="P12" s="7" t="s">
        <v>1262</v>
      </c>
      <c r="T12" s="8">
        <v>1000000</v>
      </c>
      <c r="U12" s="7" t="s">
        <v>982</v>
      </c>
      <c r="AA12" s="7" t="s">
        <v>976</v>
      </c>
      <c r="AE12" s="7" t="s">
        <v>976</v>
      </c>
      <c r="AG12" s="7" t="s">
        <v>1263</v>
      </c>
      <c r="AI12" s="7" t="s">
        <v>976</v>
      </c>
      <c r="BV12" s="7" t="s">
        <v>976</v>
      </c>
    </row>
    <row r="13" spans="1:101" ht="25.5" x14ac:dyDescent="0.2">
      <c r="A13" s="6" t="s">
        <v>928</v>
      </c>
      <c r="B13" s="7" t="s">
        <v>972</v>
      </c>
      <c r="C13" s="7" t="s">
        <v>976</v>
      </c>
      <c r="F13" s="7" t="s">
        <v>977</v>
      </c>
      <c r="H13" s="7" t="s">
        <v>972</v>
      </c>
      <c r="J13" s="7" t="s">
        <v>1302</v>
      </c>
      <c r="M13" s="7" t="s">
        <v>1261</v>
      </c>
      <c r="P13" s="7" t="s">
        <v>1262</v>
      </c>
      <c r="U13" s="7" t="s">
        <v>982</v>
      </c>
      <c r="AA13" s="7" t="s">
        <v>976</v>
      </c>
      <c r="AE13" s="7" t="s">
        <v>976</v>
      </c>
      <c r="AG13" s="7" t="s">
        <v>990</v>
      </c>
      <c r="AH13" s="7" t="s">
        <v>1301</v>
      </c>
      <c r="AI13" s="7" t="s">
        <v>976</v>
      </c>
      <c r="BV13" s="7" t="s">
        <v>976</v>
      </c>
    </row>
    <row r="14" spans="1:101" s="14" customFormat="1" x14ac:dyDescent="0.2">
      <c r="A14" s="6" t="s">
        <v>926</v>
      </c>
      <c r="B14" s="7" t="s">
        <v>972</v>
      </c>
      <c r="C14" s="7" t="s">
        <v>976</v>
      </c>
      <c r="D14" s="7"/>
      <c r="E14" s="7"/>
      <c r="F14" s="7" t="s">
        <v>977</v>
      </c>
      <c r="G14" s="7"/>
      <c r="H14" s="7" t="s">
        <v>976</v>
      </c>
      <c r="I14" s="7"/>
      <c r="J14" s="7" t="s">
        <v>1260</v>
      </c>
      <c r="K14" s="7"/>
      <c r="L14" s="7"/>
      <c r="M14" s="7" t="s">
        <v>1261</v>
      </c>
      <c r="N14" s="7"/>
      <c r="O14" s="8"/>
      <c r="P14" s="7" t="s">
        <v>1277</v>
      </c>
      <c r="Q14" s="7"/>
      <c r="R14" s="7"/>
      <c r="S14" s="7"/>
      <c r="T14" s="8"/>
      <c r="U14" s="7" t="s">
        <v>982</v>
      </c>
      <c r="V14" s="7"/>
      <c r="W14" s="7"/>
      <c r="X14" s="7"/>
      <c r="Y14" s="7"/>
      <c r="Z14" s="7"/>
      <c r="AA14" s="7" t="s">
        <v>976</v>
      </c>
      <c r="AB14" s="7"/>
      <c r="AC14" s="7"/>
      <c r="AD14" s="8"/>
      <c r="AE14" s="7" t="s">
        <v>976</v>
      </c>
      <c r="AF14" s="7"/>
      <c r="AG14" s="7" t="s">
        <v>1268</v>
      </c>
      <c r="AH14" s="7"/>
      <c r="AI14" s="7" t="s">
        <v>976</v>
      </c>
      <c r="AJ14" s="7"/>
      <c r="AK14" s="7"/>
      <c r="AL14" s="7"/>
      <c r="AM14" s="7"/>
      <c r="AN14" s="7"/>
      <c r="AO14" s="7"/>
      <c r="AP14" s="7"/>
      <c r="AQ14" s="7"/>
      <c r="AR14" s="7"/>
      <c r="AS14" s="7"/>
      <c r="AT14" s="7"/>
      <c r="AU14" s="7"/>
      <c r="AV14" s="7"/>
      <c r="AW14" s="7"/>
      <c r="AX14" s="7"/>
      <c r="AY14" s="7"/>
      <c r="AZ14" s="7"/>
      <c r="BA14" s="7"/>
      <c r="BB14" s="7"/>
      <c r="BC14" s="7"/>
      <c r="BD14" s="7"/>
      <c r="BE14" s="7"/>
      <c r="BF14" s="8"/>
      <c r="BG14" s="7"/>
      <c r="BH14" s="7"/>
      <c r="BI14" s="7"/>
      <c r="BJ14" s="7"/>
      <c r="BK14" s="8"/>
      <c r="BL14" s="7"/>
      <c r="BM14" s="7"/>
      <c r="BN14" s="7"/>
      <c r="BO14" s="7"/>
      <c r="BP14" s="7"/>
      <c r="BQ14" s="7"/>
      <c r="BR14" s="7"/>
      <c r="BS14" s="7"/>
      <c r="BT14" s="7"/>
      <c r="BU14" s="7"/>
      <c r="BV14" s="7" t="s">
        <v>976</v>
      </c>
      <c r="BW14" s="7"/>
      <c r="BX14" s="7"/>
      <c r="BY14" s="7"/>
      <c r="BZ14" s="7"/>
      <c r="CA14" s="7"/>
      <c r="CB14" s="7"/>
      <c r="CC14" s="7"/>
      <c r="CD14" s="7"/>
      <c r="CE14" s="7"/>
      <c r="CF14" s="7"/>
      <c r="CG14" s="7"/>
      <c r="CH14" s="7"/>
      <c r="CI14" s="7"/>
      <c r="CJ14" s="8"/>
      <c r="CK14" s="7"/>
      <c r="CL14" s="7"/>
      <c r="CM14" s="7"/>
      <c r="CN14" s="8"/>
      <c r="CO14" s="7"/>
      <c r="CP14" s="7"/>
      <c r="CQ14" s="7"/>
      <c r="CR14" s="7"/>
      <c r="CS14" s="7"/>
      <c r="CT14" s="7"/>
      <c r="CU14" s="7"/>
      <c r="CV14" s="7"/>
      <c r="CW14" s="7"/>
    </row>
    <row r="15" spans="1:101" s="14" customFormat="1" x14ac:dyDescent="0.2">
      <c r="A15" s="6" t="s">
        <v>948</v>
      </c>
      <c r="B15" s="7" t="s">
        <v>972</v>
      </c>
      <c r="C15" s="7" t="s">
        <v>976</v>
      </c>
      <c r="D15" s="7"/>
      <c r="E15" s="7"/>
      <c r="F15" s="7" t="s">
        <v>977</v>
      </c>
      <c r="G15" s="7"/>
      <c r="H15" s="7" t="s">
        <v>972</v>
      </c>
      <c r="I15" s="7">
        <v>0</v>
      </c>
      <c r="J15" s="7" t="s">
        <v>1260</v>
      </c>
      <c r="K15" s="7"/>
      <c r="L15" s="7">
        <v>0</v>
      </c>
      <c r="M15" s="7" t="s">
        <v>1261</v>
      </c>
      <c r="N15" s="7"/>
      <c r="O15" s="8"/>
      <c r="P15" s="7" t="s">
        <v>1262</v>
      </c>
      <c r="Q15" s="7"/>
      <c r="R15" s="7"/>
      <c r="S15" s="7"/>
      <c r="T15" s="8"/>
      <c r="U15" s="7" t="s">
        <v>982</v>
      </c>
      <c r="V15" s="7"/>
      <c r="W15" s="7"/>
      <c r="X15" s="7"/>
      <c r="Y15" s="7"/>
      <c r="Z15" s="7"/>
      <c r="AA15" s="7" t="s">
        <v>976</v>
      </c>
      <c r="AB15" s="7"/>
      <c r="AC15" s="7"/>
      <c r="AD15" s="8"/>
      <c r="AE15" s="7" t="s">
        <v>976</v>
      </c>
      <c r="AF15" s="7"/>
      <c r="AG15" s="7" t="s">
        <v>1268</v>
      </c>
      <c r="AH15" s="7"/>
      <c r="AI15" s="7" t="s">
        <v>976</v>
      </c>
      <c r="AJ15" s="7"/>
      <c r="AK15" s="7"/>
      <c r="AL15" s="7"/>
      <c r="AM15" s="7"/>
      <c r="AN15" s="7"/>
      <c r="AO15" s="7"/>
      <c r="AP15" s="7"/>
      <c r="AQ15" s="7"/>
      <c r="AR15" s="7"/>
      <c r="AS15" s="7"/>
      <c r="AT15" s="7"/>
      <c r="AU15" s="7"/>
      <c r="AV15" s="7"/>
      <c r="AW15" s="7"/>
      <c r="AX15" s="7"/>
      <c r="AY15" s="7"/>
      <c r="AZ15" s="7"/>
      <c r="BA15" s="7"/>
      <c r="BB15" s="7"/>
      <c r="BC15" s="7"/>
      <c r="BD15" s="7"/>
      <c r="BE15" s="7"/>
      <c r="BF15" s="8"/>
      <c r="BG15" s="7"/>
      <c r="BH15" s="7"/>
      <c r="BI15" s="7"/>
      <c r="BJ15" s="7"/>
      <c r="BK15" s="8"/>
      <c r="BL15" s="7"/>
      <c r="BM15" s="7"/>
      <c r="BN15" s="7"/>
      <c r="BO15" s="7"/>
      <c r="BP15" s="7"/>
      <c r="BQ15" s="7"/>
      <c r="BR15" s="7"/>
      <c r="BS15" s="7"/>
      <c r="BT15" s="7"/>
      <c r="BU15" s="7"/>
      <c r="BV15" s="7" t="s">
        <v>976</v>
      </c>
      <c r="BW15" s="7"/>
      <c r="BX15" s="7"/>
      <c r="BY15" s="7"/>
      <c r="BZ15" s="7"/>
      <c r="CA15" s="7"/>
      <c r="CB15" s="7"/>
      <c r="CC15" s="7"/>
      <c r="CD15" s="7"/>
      <c r="CE15" s="7"/>
      <c r="CF15" s="7"/>
      <c r="CG15" s="7"/>
      <c r="CH15" s="7"/>
      <c r="CI15" s="7"/>
      <c r="CJ15" s="8"/>
      <c r="CK15" s="7"/>
      <c r="CL15" s="7"/>
      <c r="CM15" s="7"/>
      <c r="CN15" s="8"/>
      <c r="CO15" s="7"/>
      <c r="CP15" s="7"/>
      <c r="CQ15" s="7"/>
      <c r="CR15" s="7"/>
      <c r="CS15" s="7"/>
      <c r="CT15" s="7"/>
      <c r="CU15" s="7"/>
      <c r="CV15" s="7"/>
      <c r="CW15" s="7"/>
    </row>
    <row r="16" spans="1:101" ht="38.25" x14ac:dyDescent="0.2">
      <c r="A16" s="6" t="s">
        <v>932</v>
      </c>
      <c r="B16" s="7" t="s">
        <v>972</v>
      </c>
      <c r="C16" s="7" t="s">
        <v>976</v>
      </c>
      <c r="F16" s="7" t="s">
        <v>977</v>
      </c>
      <c r="H16" s="7" t="s">
        <v>972</v>
      </c>
      <c r="I16" s="7">
        <v>20</v>
      </c>
      <c r="J16" s="7" t="s">
        <v>1285</v>
      </c>
      <c r="K16" s="7" t="s">
        <v>1305</v>
      </c>
      <c r="L16" s="7">
        <v>0</v>
      </c>
      <c r="M16" s="7" t="s">
        <v>1261</v>
      </c>
      <c r="P16" s="7" t="s">
        <v>1262</v>
      </c>
      <c r="U16" s="7" t="s">
        <v>982</v>
      </c>
      <c r="AA16" s="7" t="s">
        <v>976</v>
      </c>
      <c r="AE16" s="7" t="s">
        <v>976</v>
      </c>
      <c r="AG16" s="7" t="s">
        <v>990</v>
      </c>
      <c r="AH16" s="7" t="s">
        <v>1306</v>
      </c>
      <c r="AI16" s="7" t="s">
        <v>976</v>
      </c>
      <c r="BV16" s="7" t="s">
        <v>976</v>
      </c>
    </row>
    <row r="17" spans="1:101" x14ac:dyDescent="0.2">
      <c r="A17" s="6" t="s">
        <v>941</v>
      </c>
      <c r="B17" s="7" t="s">
        <v>972</v>
      </c>
      <c r="C17" s="7" t="s">
        <v>976</v>
      </c>
      <c r="F17" s="7" t="s">
        <v>977</v>
      </c>
      <c r="H17" s="7" t="s">
        <v>972</v>
      </c>
      <c r="I17" s="7">
        <v>0</v>
      </c>
      <c r="J17" s="7" t="s">
        <v>1260</v>
      </c>
      <c r="L17" s="7">
        <v>0</v>
      </c>
      <c r="M17" s="7" t="s">
        <v>1261</v>
      </c>
      <c r="P17" s="7" t="s">
        <v>990</v>
      </c>
      <c r="Q17" s="7" t="s">
        <v>1311</v>
      </c>
      <c r="T17" s="8">
        <v>1800000</v>
      </c>
      <c r="U17" s="7" t="s">
        <v>982</v>
      </c>
      <c r="AA17" s="7" t="s">
        <v>976</v>
      </c>
      <c r="AE17" s="7" t="s">
        <v>976</v>
      </c>
      <c r="AG17" s="7" t="s">
        <v>1008</v>
      </c>
      <c r="AI17" s="7" t="s">
        <v>976</v>
      </c>
      <c r="BV17" s="7" t="s">
        <v>976</v>
      </c>
    </row>
    <row r="18" spans="1:101" x14ac:dyDescent="0.2">
      <c r="A18" s="6" t="s">
        <v>956</v>
      </c>
      <c r="B18" s="7" t="s">
        <v>972</v>
      </c>
      <c r="C18" s="7" t="s">
        <v>976</v>
      </c>
      <c r="F18" s="7" t="s">
        <v>977</v>
      </c>
      <c r="H18" s="7" t="s">
        <v>972</v>
      </c>
      <c r="I18" s="7">
        <v>0</v>
      </c>
      <c r="J18" s="7" t="s">
        <v>1260</v>
      </c>
      <c r="L18" s="7">
        <v>0</v>
      </c>
      <c r="M18" s="7" t="s">
        <v>1261</v>
      </c>
      <c r="P18" s="7" t="s">
        <v>1262</v>
      </c>
      <c r="U18" s="7" t="s">
        <v>982</v>
      </c>
      <c r="AA18" s="7" t="s">
        <v>976</v>
      </c>
      <c r="AE18" s="7" t="s">
        <v>976</v>
      </c>
      <c r="AG18" s="7" t="s">
        <v>1282</v>
      </c>
      <c r="AI18" s="7" t="s">
        <v>976</v>
      </c>
      <c r="BV18" s="7" t="s">
        <v>976</v>
      </c>
    </row>
    <row r="19" spans="1:101" x14ac:dyDescent="0.2">
      <c r="A19" s="6" t="s">
        <v>934</v>
      </c>
      <c r="B19" s="7" t="s">
        <v>972</v>
      </c>
      <c r="C19" s="7" t="s">
        <v>976</v>
      </c>
      <c r="F19" s="7" t="s">
        <v>977</v>
      </c>
      <c r="H19" s="7" t="s">
        <v>972</v>
      </c>
      <c r="I19" s="7">
        <v>0</v>
      </c>
      <c r="J19" s="7" t="s">
        <v>1260</v>
      </c>
      <c r="L19" s="7">
        <v>0</v>
      </c>
      <c r="M19" s="7" t="s">
        <v>1261</v>
      </c>
      <c r="P19" s="7" t="s">
        <v>1262</v>
      </c>
      <c r="T19" s="8">
        <v>2500000</v>
      </c>
      <c r="U19" s="7" t="s">
        <v>982</v>
      </c>
      <c r="AA19" s="7" t="s">
        <v>976</v>
      </c>
      <c r="AE19" s="7" t="s">
        <v>976</v>
      </c>
      <c r="AG19" s="7" t="s">
        <v>1263</v>
      </c>
      <c r="AI19" s="7" t="s">
        <v>976</v>
      </c>
      <c r="BV19" s="7" t="s">
        <v>976</v>
      </c>
    </row>
    <row r="20" spans="1:101" x14ac:dyDescent="0.2">
      <c r="A20" s="14" t="s">
        <v>961</v>
      </c>
      <c r="B20" s="15" t="s">
        <v>972</v>
      </c>
      <c r="C20" s="15" t="s">
        <v>976</v>
      </c>
      <c r="D20" s="15"/>
      <c r="E20" s="15"/>
      <c r="F20" s="15" t="s">
        <v>977</v>
      </c>
      <c r="G20" s="15"/>
      <c r="H20" s="15" t="s">
        <v>972</v>
      </c>
      <c r="I20" s="15">
        <v>0</v>
      </c>
      <c r="J20" s="15" t="s">
        <v>1296</v>
      </c>
      <c r="K20" s="15"/>
      <c r="L20" s="15">
        <v>0</v>
      </c>
      <c r="M20" s="15" t="s">
        <v>1261</v>
      </c>
      <c r="N20" s="15"/>
      <c r="O20" s="16"/>
      <c r="P20" s="15" t="s">
        <v>1292</v>
      </c>
      <c r="Q20" s="15"/>
      <c r="R20" s="15"/>
      <c r="S20" s="15"/>
      <c r="T20" s="16">
        <v>10000000</v>
      </c>
      <c r="U20" s="15" t="s">
        <v>982</v>
      </c>
      <c r="V20" s="15"/>
      <c r="W20" s="15"/>
      <c r="X20" s="15"/>
      <c r="Y20" s="15"/>
      <c r="Z20" s="15"/>
      <c r="AA20" s="15" t="s">
        <v>976</v>
      </c>
      <c r="AB20" s="15"/>
      <c r="AC20" s="15"/>
      <c r="AD20" s="16"/>
      <c r="AE20" s="15" t="s">
        <v>976</v>
      </c>
      <c r="AF20" s="15"/>
      <c r="AG20" s="15" t="s">
        <v>1268</v>
      </c>
      <c r="AH20" s="15"/>
      <c r="AI20" s="15" t="s">
        <v>976</v>
      </c>
      <c r="AJ20" s="15"/>
      <c r="AK20" s="15"/>
      <c r="AL20" s="15"/>
      <c r="AM20" s="15"/>
      <c r="AN20" s="15"/>
      <c r="AO20" s="15"/>
      <c r="AP20" s="15"/>
      <c r="AQ20" s="15"/>
      <c r="AR20" s="15"/>
      <c r="AS20" s="15"/>
      <c r="AT20" s="15"/>
      <c r="AU20" s="15"/>
      <c r="AV20" s="15"/>
      <c r="AW20" s="15"/>
      <c r="AX20" s="15"/>
      <c r="AY20" s="15"/>
      <c r="AZ20" s="15"/>
      <c r="BA20" s="15"/>
      <c r="BB20" s="15"/>
      <c r="BC20" s="15"/>
      <c r="BD20" s="15"/>
      <c r="BE20" s="15"/>
      <c r="BF20" s="16"/>
      <c r="BG20" s="15"/>
      <c r="BH20" s="15"/>
      <c r="BI20" s="15"/>
      <c r="BJ20" s="15"/>
      <c r="BK20" s="16"/>
      <c r="BL20" s="15"/>
      <c r="BM20" s="15"/>
      <c r="BN20" s="15"/>
      <c r="BO20" s="15"/>
      <c r="BP20" s="15"/>
      <c r="BQ20" s="15"/>
      <c r="BR20" s="15"/>
      <c r="BS20" s="15"/>
      <c r="BT20" s="15"/>
      <c r="BU20" s="15"/>
      <c r="BV20" s="15" t="s">
        <v>972</v>
      </c>
      <c r="BW20" s="15" t="s">
        <v>976</v>
      </c>
      <c r="BX20" s="15"/>
      <c r="BY20" s="15"/>
      <c r="BZ20" s="15" t="s">
        <v>977</v>
      </c>
      <c r="CA20" s="15"/>
      <c r="CB20" s="15" t="s">
        <v>972</v>
      </c>
      <c r="CC20" s="15">
        <v>0</v>
      </c>
      <c r="CD20" s="15" t="s">
        <v>1260</v>
      </c>
      <c r="CE20" s="15"/>
      <c r="CF20" s="15">
        <v>0</v>
      </c>
      <c r="CG20" s="15" t="s">
        <v>1191</v>
      </c>
      <c r="CH20" s="15" t="s">
        <v>1261</v>
      </c>
      <c r="CI20" s="15"/>
      <c r="CJ20" s="16"/>
      <c r="CK20" s="15">
        <v>2</v>
      </c>
      <c r="CL20" s="15"/>
      <c r="CM20" s="15"/>
      <c r="CN20" s="16">
        <v>500000</v>
      </c>
      <c r="CO20" s="15" t="s">
        <v>982</v>
      </c>
      <c r="CP20" s="15"/>
      <c r="CQ20" s="15"/>
      <c r="CR20" s="15"/>
      <c r="CS20" s="15"/>
      <c r="CT20" s="15"/>
      <c r="CU20" s="15" t="s">
        <v>976</v>
      </c>
      <c r="CV20" s="15"/>
      <c r="CW20" s="15" t="s">
        <v>1168</v>
      </c>
    </row>
    <row r="21" spans="1:101" x14ac:dyDescent="0.2">
      <c r="A21" s="6" t="s">
        <v>939</v>
      </c>
      <c r="B21" s="7" t="s">
        <v>972</v>
      </c>
      <c r="C21" s="7" t="s">
        <v>976</v>
      </c>
      <c r="F21" s="7" t="s">
        <v>977</v>
      </c>
      <c r="H21" s="7" t="s">
        <v>972</v>
      </c>
      <c r="I21" s="7">
        <v>1</v>
      </c>
      <c r="J21" s="7" t="s">
        <v>1296</v>
      </c>
      <c r="L21" s="7">
        <v>0</v>
      </c>
      <c r="M21" s="7" t="s">
        <v>1261</v>
      </c>
      <c r="P21" s="7" t="s">
        <v>1262</v>
      </c>
      <c r="T21" s="8">
        <v>1500000</v>
      </c>
      <c r="U21" s="7" t="s">
        <v>982</v>
      </c>
      <c r="AA21" s="7" t="s">
        <v>976</v>
      </c>
      <c r="AE21" s="7" t="s">
        <v>976</v>
      </c>
      <c r="AG21" s="7" t="s">
        <v>1268</v>
      </c>
      <c r="AI21" s="7" t="s">
        <v>976</v>
      </c>
      <c r="BV21" s="7" t="s">
        <v>976</v>
      </c>
    </row>
    <row r="22" spans="1:101" x14ac:dyDescent="0.2">
      <c r="A22" s="6" t="s">
        <v>938</v>
      </c>
      <c r="B22" s="7" t="s">
        <v>972</v>
      </c>
      <c r="C22" s="7" t="s">
        <v>976</v>
      </c>
      <c r="F22" s="7" t="s">
        <v>977</v>
      </c>
      <c r="H22" s="7" t="s">
        <v>972</v>
      </c>
      <c r="I22" s="7">
        <v>7</v>
      </c>
      <c r="J22" s="7" t="s">
        <v>1260</v>
      </c>
      <c r="L22" s="7">
        <v>0</v>
      </c>
      <c r="M22" s="7" t="s">
        <v>1261</v>
      </c>
      <c r="P22" s="7" t="s">
        <v>1262</v>
      </c>
      <c r="T22" s="8">
        <v>1500000</v>
      </c>
      <c r="U22" s="7" t="s">
        <v>982</v>
      </c>
      <c r="AA22" s="7" t="s">
        <v>976</v>
      </c>
      <c r="AE22" s="7" t="s">
        <v>976</v>
      </c>
      <c r="AG22" s="7" t="s">
        <v>990</v>
      </c>
      <c r="AH22" s="7" t="s">
        <v>1275</v>
      </c>
      <c r="AI22" s="7" t="s">
        <v>976</v>
      </c>
      <c r="BV22" s="7" t="s">
        <v>976</v>
      </c>
    </row>
    <row r="23" spans="1:101" x14ac:dyDescent="0.2">
      <c r="A23" s="6" t="s">
        <v>947</v>
      </c>
      <c r="B23" s="7" t="s">
        <v>972</v>
      </c>
      <c r="C23" s="7" t="s">
        <v>976</v>
      </c>
      <c r="F23" s="7" t="s">
        <v>977</v>
      </c>
      <c r="H23" s="7" t="s">
        <v>972</v>
      </c>
      <c r="J23" s="7" t="s">
        <v>1260</v>
      </c>
      <c r="L23" s="7">
        <v>0</v>
      </c>
      <c r="M23" s="7" t="s">
        <v>1261</v>
      </c>
      <c r="P23" s="7" t="s">
        <v>1262</v>
      </c>
      <c r="U23" s="7" t="s">
        <v>982</v>
      </c>
      <c r="AA23" s="7" t="s">
        <v>976</v>
      </c>
      <c r="AE23" s="7" t="s">
        <v>976</v>
      </c>
      <c r="AG23" s="7" t="s">
        <v>1268</v>
      </c>
      <c r="AI23" s="7" t="s">
        <v>976</v>
      </c>
      <c r="BV23" s="7" t="s">
        <v>976</v>
      </c>
    </row>
    <row r="24" spans="1:101" x14ac:dyDescent="0.2">
      <c r="A24" s="6" t="s">
        <v>937</v>
      </c>
      <c r="B24" s="7" t="s">
        <v>972</v>
      </c>
      <c r="C24" s="7" t="s">
        <v>976</v>
      </c>
      <c r="F24" s="7" t="s">
        <v>977</v>
      </c>
      <c r="H24" s="7" t="s">
        <v>972</v>
      </c>
      <c r="I24" s="7">
        <v>0</v>
      </c>
      <c r="J24" s="7" t="s">
        <v>1260</v>
      </c>
      <c r="L24" s="7">
        <v>0</v>
      </c>
      <c r="M24" s="7" t="s">
        <v>1261</v>
      </c>
      <c r="P24" s="7" t="s">
        <v>1262</v>
      </c>
      <c r="U24" s="7" t="s">
        <v>982</v>
      </c>
      <c r="AA24" s="7" t="s">
        <v>976</v>
      </c>
      <c r="AE24" s="7" t="s">
        <v>976</v>
      </c>
      <c r="AG24" s="7" t="s">
        <v>990</v>
      </c>
      <c r="AH24" s="7" t="s">
        <v>1310</v>
      </c>
      <c r="AI24" s="7" t="s">
        <v>976</v>
      </c>
      <c r="BV24" s="7" t="s">
        <v>972</v>
      </c>
      <c r="BW24" s="7" t="s">
        <v>976</v>
      </c>
      <c r="BZ24" s="7" t="s">
        <v>977</v>
      </c>
      <c r="CB24" s="7" t="s">
        <v>972</v>
      </c>
      <c r="CC24" s="7">
        <v>0</v>
      </c>
      <c r="CD24" s="7" t="s">
        <v>1260</v>
      </c>
      <c r="CF24" s="7">
        <v>0</v>
      </c>
      <c r="CG24" s="7" t="s">
        <v>1156</v>
      </c>
      <c r="CH24" s="7" t="s">
        <v>1261</v>
      </c>
      <c r="CO24" s="7" t="s">
        <v>982</v>
      </c>
      <c r="CU24" s="7" t="s">
        <v>976</v>
      </c>
      <c r="CW24" s="7" t="s">
        <v>1168</v>
      </c>
    </row>
    <row r="25" spans="1:101" ht="25.5" x14ac:dyDescent="0.2">
      <c r="A25" s="6" t="s">
        <v>949</v>
      </c>
      <c r="B25" s="7" t="s">
        <v>972</v>
      </c>
      <c r="C25" s="7" t="s">
        <v>976</v>
      </c>
      <c r="F25" s="7" t="s">
        <v>977</v>
      </c>
      <c r="H25" s="7" t="s">
        <v>972</v>
      </c>
      <c r="I25" s="7">
        <v>1</v>
      </c>
      <c r="J25" s="7" t="s">
        <v>1260</v>
      </c>
      <c r="L25" s="7">
        <v>0</v>
      </c>
      <c r="M25" s="7" t="s">
        <v>1261</v>
      </c>
      <c r="P25" s="7" t="s">
        <v>1262</v>
      </c>
      <c r="T25" s="8">
        <v>1250000</v>
      </c>
      <c r="U25" s="7" t="s">
        <v>982</v>
      </c>
      <c r="AA25" s="7" t="s">
        <v>976</v>
      </c>
      <c r="AE25" s="7" t="s">
        <v>976</v>
      </c>
      <c r="AG25" s="7" t="s">
        <v>990</v>
      </c>
      <c r="AH25" s="7" t="s">
        <v>1168</v>
      </c>
      <c r="AI25" s="7" t="s">
        <v>972</v>
      </c>
      <c r="AJ25" s="7" t="s">
        <v>973</v>
      </c>
      <c r="AO25" s="7" t="s">
        <v>976</v>
      </c>
      <c r="AR25" s="7" t="s">
        <v>977</v>
      </c>
      <c r="AT25" s="7" t="s">
        <v>972</v>
      </c>
      <c r="AU25" s="7">
        <v>1</v>
      </c>
      <c r="AV25" s="7" t="s">
        <v>1316</v>
      </c>
      <c r="AX25" s="7" t="s">
        <v>1283</v>
      </c>
      <c r="AZ25" s="7" t="s">
        <v>1260</v>
      </c>
      <c r="BB25" s="7">
        <v>1</v>
      </c>
      <c r="BC25" s="7" t="s">
        <v>1156</v>
      </c>
      <c r="BD25" s="7" t="s">
        <v>1284</v>
      </c>
      <c r="BI25" s="9">
        <v>0.75</v>
      </c>
      <c r="BK25" s="8">
        <v>350000</v>
      </c>
      <c r="BL25" s="7" t="s">
        <v>982</v>
      </c>
      <c r="BR25" s="7" t="s">
        <v>976</v>
      </c>
      <c r="BT25" s="7" t="s">
        <v>990</v>
      </c>
      <c r="BU25" s="7" t="s">
        <v>1168</v>
      </c>
      <c r="BV25" s="7" t="s">
        <v>972</v>
      </c>
      <c r="BW25" s="7" t="s">
        <v>976</v>
      </c>
      <c r="BZ25" s="7" t="s">
        <v>977</v>
      </c>
      <c r="CB25" s="7" t="s">
        <v>972</v>
      </c>
      <c r="CC25" s="7">
        <v>1</v>
      </c>
      <c r="CD25" s="7" t="s">
        <v>1260</v>
      </c>
      <c r="CF25" s="7">
        <v>0</v>
      </c>
      <c r="CG25" s="7" t="s">
        <v>1156</v>
      </c>
      <c r="CH25" s="7" t="s">
        <v>1284</v>
      </c>
      <c r="CL25" s="9">
        <v>0.75</v>
      </c>
      <c r="CN25" s="8">
        <v>350000</v>
      </c>
      <c r="CO25" s="7" t="s">
        <v>982</v>
      </c>
      <c r="CU25" s="7" t="s">
        <v>976</v>
      </c>
      <c r="CW25" s="7" t="s">
        <v>1168</v>
      </c>
    </row>
    <row r="26" spans="1:101" x14ac:dyDescent="0.2">
      <c r="A26" s="6" t="s">
        <v>963</v>
      </c>
      <c r="B26" s="7" t="s">
        <v>972</v>
      </c>
      <c r="C26" s="7" t="s">
        <v>972</v>
      </c>
      <c r="D26" s="7">
        <v>2</v>
      </c>
      <c r="E26" s="7" t="s">
        <v>976</v>
      </c>
      <c r="F26" s="7" t="s">
        <v>977</v>
      </c>
      <c r="H26" s="7" t="s">
        <v>972</v>
      </c>
      <c r="I26" s="7">
        <v>10</v>
      </c>
      <c r="J26" s="7" t="s">
        <v>1296</v>
      </c>
      <c r="L26" s="7">
        <v>1</v>
      </c>
      <c r="M26" s="7" t="s">
        <v>1261</v>
      </c>
      <c r="P26" s="7" t="s">
        <v>1262</v>
      </c>
      <c r="T26" s="8">
        <v>1500000</v>
      </c>
      <c r="U26" s="7" t="s">
        <v>982</v>
      </c>
      <c r="AA26" s="7" t="s">
        <v>976</v>
      </c>
      <c r="AE26" s="7" t="s">
        <v>976</v>
      </c>
      <c r="AG26" s="7" t="s">
        <v>1282</v>
      </c>
      <c r="AI26" s="7" t="s">
        <v>976</v>
      </c>
      <c r="BV26" s="7" t="s">
        <v>976</v>
      </c>
    </row>
    <row r="27" spans="1:101" ht="25.5" x14ac:dyDescent="0.2">
      <c r="A27" s="6" t="s">
        <v>913</v>
      </c>
      <c r="B27" s="7" t="s">
        <v>972</v>
      </c>
      <c r="C27" s="7" t="s">
        <v>972</v>
      </c>
      <c r="D27" s="7">
        <v>2</v>
      </c>
      <c r="E27" s="7" t="s">
        <v>972</v>
      </c>
      <c r="F27" s="7" t="s">
        <v>977</v>
      </c>
      <c r="H27" s="7" t="s">
        <v>972</v>
      </c>
      <c r="I27" s="7">
        <v>1</v>
      </c>
      <c r="J27" s="7" t="s">
        <v>1269</v>
      </c>
      <c r="L27" s="7">
        <v>0</v>
      </c>
      <c r="M27" s="7" t="s">
        <v>1261</v>
      </c>
      <c r="P27" s="7" t="s">
        <v>990</v>
      </c>
      <c r="Q27" s="7" t="s">
        <v>1270</v>
      </c>
      <c r="T27" s="8">
        <v>1800000</v>
      </c>
      <c r="U27" s="7" t="s">
        <v>993</v>
      </c>
      <c r="V27" s="7" t="s">
        <v>994</v>
      </c>
      <c r="Z27" s="7" t="s">
        <v>1271</v>
      </c>
      <c r="AA27" s="7" t="s">
        <v>976</v>
      </c>
      <c r="AE27" s="7" t="s">
        <v>976</v>
      </c>
      <c r="AG27" s="7" t="s">
        <v>1263</v>
      </c>
      <c r="AI27" s="7" t="s">
        <v>972</v>
      </c>
      <c r="AJ27" s="7" t="s">
        <v>1003</v>
      </c>
      <c r="AL27" s="7" t="s">
        <v>1166</v>
      </c>
      <c r="AO27" s="7" t="s">
        <v>976</v>
      </c>
      <c r="AR27" s="7" t="s">
        <v>977</v>
      </c>
      <c r="AT27" s="7" t="s">
        <v>972</v>
      </c>
      <c r="AU27" s="7">
        <v>10</v>
      </c>
      <c r="AV27" s="7" t="s">
        <v>1265</v>
      </c>
      <c r="AX27" s="7" t="s">
        <v>1272</v>
      </c>
      <c r="AZ27" s="7" t="s">
        <v>990</v>
      </c>
      <c r="BA27" s="7" t="s">
        <v>1273</v>
      </c>
      <c r="BB27" s="7">
        <v>30</v>
      </c>
      <c r="BC27" s="7" t="s">
        <v>1156</v>
      </c>
      <c r="BD27" s="7" t="s">
        <v>1040</v>
      </c>
      <c r="BE27" s="7" t="s">
        <v>976</v>
      </c>
      <c r="BF27" s="8">
        <v>25000</v>
      </c>
      <c r="BK27" s="8">
        <v>500000</v>
      </c>
      <c r="BL27" s="7" t="s">
        <v>983</v>
      </c>
      <c r="BR27" s="7" t="s">
        <v>976</v>
      </c>
      <c r="BT27" s="7" t="s">
        <v>990</v>
      </c>
      <c r="BU27" s="7" t="s">
        <v>1274</v>
      </c>
      <c r="BV27" s="7" t="s">
        <v>972</v>
      </c>
      <c r="BW27" s="7" t="s">
        <v>972</v>
      </c>
      <c r="BY27" s="7" t="s">
        <v>972</v>
      </c>
      <c r="BZ27" s="7" t="s">
        <v>977</v>
      </c>
      <c r="CB27" s="7" t="s">
        <v>972</v>
      </c>
      <c r="CC27" s="7">
        <v>10</v>
      </c>
      <c r="CD27" s="7" t="s">
        <v>990</v>
      </c>
      <c r="CE27" s="7" t="s">
        <v>1273</v>
      </c>
      <c r="CF27" s="7">
        <v>30</v>
      </c>
      <c r="CG27" s="7" t="s">
        <v>1156</v>
      </c>
      <c r="CH27" s="7" t="s">
        <v>1040</v>
      </c>
      <c r="CI27" s="7" t="s">
        <v>972</v>
      </c>
      <c r="CJ27" s="8">
        <v>25000</v>
      </c>
      <c r="CN27" s="8">
        <v>250000</v>
      </c>
      <c r="CO27" s="7" t="s">
        <v>983</v>
      </c>
      <c r="CU27" s="7" t="s">
        <v>976</v>
      </c>
      <c r="CW27" s="7" t="s">
        <v>1168</v>
      </c>
    </row>
    <row r="28" spans="1:101" x14ac:dyDescent="0.2">
      <c r="A28" s="6" t="s">
        <v>931</v>
      </c>
      <c r="B28" s="7" t="s">
        <v>972</v>
      </c>
      <c r="C28" s="7" t="s">
        <v>976</v>
      </c>
      <c r="F28" s="7" t="s">
        <v>977</v>
      </c>
      <c r="H28" s="7" t="s">
        <v>972</v>
      </c>
      <c r="I28" s="7">
        <v>1</v>
      </c>
      <c r="J28" s="7" t="s">
        <v>1260</v>
      </c>
      <c r="L28" s="7">
        <v>0</v>
      </c>
      <c r="M28" s="7" t="s">
        <v>1261</v>
      </c>
      <c r="P28" s="7" t="s">
        <v>1262</v>
      </c>
      <c r="U28" s="7" t="s">
        <v>982</v>
      </c>
      <c r="AA28" s="7" t="s">
        <v>972</v>
      </c>
      <c r="AB28" s="7" t="s">
        <v>1258</v>
      </c>
      <c r="AE28" s="7" t="s">
        <v>976</v>
      </c>
      <c r="AG28" s="7" t="s">
        <v>1268</v>
      </c>
      <c r="AI28" s="7" t="s">
        <v>976</v>
      </c>
      <c r="BV28" s="7" t="s">
        <v>972</v>
      </c>
      <c r="BW28" s="7" t="s">
        <v>976</v>
      </c>
      <c r="BZ28" s="7" t="s">
        <v>977</v>
      </c>
      <c r="CB28" s="7" t="s">
        <v>972</v>
      </c>
      <c r="CC28" s="7">
        <v>1</v>
      </c>
      <c r="CD28" s="7" t="s">
        <v>990</v>
      </c>
      <c r="CE28" s="7" t="s">
        <v>1304</v>
      </c>
      <c r="CF28" s="7">
        <v>0</v>
      </c>
      <c r="CG28" s="7" t="s">
        <v>1156</v>
      </c>
      <c r="CH28" s="7" t="s">
        <v>1040</v>
      </c>
      <c r="CI28" s="7" t="s">
        <v>976</v>
      </c>
      <c r="CJ28" s="8">
        <v>25000</v>
      </c>
      <c r="CN28" s="8">
        <v>150000</v>
      </c>
      <c r="CO28" s="7" t="s">
        <v>983</v>
      </c>
      <c r="CU28" s="7" t="s">
        <v>976</v>
      </c>
      <c r="CW28" s="7" t="s">
        <v>1168</v>
      </c>
    </row>
    <row r="29" spans="1:101" x14ac:dyDescent="0.2">
      <c r="A29" s="14" t="s">
        <v>966</v>
      </c>
      <c r="B29" s="15" t="s">
        <v>972</v>
      </c>
      <c r="C29" s="15" t="s">
        <v>976</v>
      </c>
      <c r="D29" s="15"/>
      <c r="E29" s="15"/>
      <c r="F29" s="15" t="s">
        <v>977</v>
      </c>
      <c r="G29" s="15"/>
      <c r="H29" s="15" t="s">
        <v>972</v>
      </c>
      <c r="I29" s="15">
        <v>0</v>
      </c>
      <c r="J29" s="15" t="s">
        <v>1260</v>
      </c>
      <c r="K29" s="15"/>
      <c r="L29" s="15">
        <v>0</v>
      </c>
      <c r="M29" s="15" t="s">
        <v>1261</v>
      </c>
      <c r="N29" s="15"/>
      <c r="O29" s="16"/>
      <c r="P29" s="15" t="s">
        <v>1292</v>
      </c>
      <c r="Q29" s="15"/>
      <c r="R29" s="15"/>
      <c r="S29" s="15"/>
      <c r="T29" s="16">
        <v>10000000</v>
      </c>
      <c r="U29" s="15" t="s">
        <v>982</v>
      </c>
      <c r="V29" s="15"/>
      <c r="W29" s="15"/>
      <c r="X29" s="15"/>
      <c r="Y29" s="15"/>
      <c r="Z29" s="15"/>
      <c r="AA29" s="15" t="s">
        <v>976</v>
      </c>
      <c r="AB29" s="15"/>
      <c r="AC29" s="15"/>
      <c r="AD29" s="16"/>
      <c r="AE29" s="15" t="s">
        <v>976</v>
      </c>
      <c r="AF29" s="15"/>
      <c r="AG29" s="15" t="s">
        <v>990</v>
      </c>
      <c r="AH29" s="15" t="s">
        <v>1168</v>
      </c>
      <c r="AI29" s="15" t="s">
        <v>976</v>
      </c>
      <c r="AJ29" s="15"/>
      <c r="AK29" s="15"/>
      <c r="AL29" s="15"/>
      <c r="AM29" s="15"/>
      <c r="AN29" s="15"/>
      <c r="AO29" s="15"/>
      <c r="AP29" s="15"/>
      <c r="AQ29" s="15"/>
      <c r="AR29" s="15"/>
      <c r="AS29" s="15"/>
      <c r="AT29" s="15"/>
      <c r="AU29" s="15"/>
      <c r="AV29" s="15"/>
      <c r="AW29" s="15"/>
      <c r="AX29" s="15"/>
      <c r="AY29" s="15"/>
      <c r="AZ29" s="15"/>
      <c r="BA29" s="15"/>
      <c r="BB29" s="15"/>
      <c r="BC29" s="15"/>
      <c r="BD29" s="15"/>
      <c r="BE29" s="15"/>
      <c r="BF29" s="16"/>
      <c r="BG29" s="15"/>
      <c r="BH29" s="15"/>
      <c r="BI29" s="15"/>
      <c r="BJ29" s="15"/>
      <c r="BK29" s="16"/>
      <c r="BL29" s="15"/>
      <c r="BM29" s="15"/>
      <c r="BN29" s="15"/>
      <c r="BO29" s="15"/>
      <c r="BP29" s="15"/>
      <c r="BQ29" s="15"/>
      <c r="BR29" s="15"/>
      <c r="BS29" s="15"/>
      <c r="BT29" s="15"/>
      <c r="BU29" s="15"/>
      <c r="BV29" s="15" t="s">
        <v>976</v>
      </c>
      <c r="BW29" s="15"/>
      <c r="BX29" s="15"/>
      <c r="BY29" s="15"/>
      <c r="BZ29" s="15"/>
      <c r="CA29" s="15"/>
      <c r="CB29" s="15"/>
      <c r="CC29" s="15"/>
      <c r="CD29" s="15"/>
      <c r="CE29" s="15"/>
      <c r="CF29" s="15"/>
      <c r="CG29" s="15"/>
      <c r="CH29" s="15"/>
      <c r="CI29" s="15"/>
      <c r="CJ29" s="16"/>
      <c r="CK29" s="15"/>
      <c r="CL29" s="15"/>
      <c r="CM29" s="15"/>
      <c r="CN29" s="16"/>
      <c r="CO29" s="15"/>
      <c r="CP29" s="15"/>
      <c r="CQ29" s="15"/>
      <c r="CR29" s="15"/>
      <c r="CS29" s="15"/>
      <c r="CT29" s="15"/>
      <c r="CU29" s="15"/>
      <c r="CV29" s="15"/>
      <c r="CW29" s="15"/>
    </row>
    <row r="30" spans="1:101" x14ac:dyDescent="0.2">
      <c r="A30" s="6" t="s">
        <v>917</v>
      </c>
      <c r="B30" s="7" t="s">
        <v>972</v>
      </c>
      <c r="C30" s="7" t="s">
        <v>976</v>
      </c>
      <c r="F30" s="7" t="s">
        <v>977</v>
      </c>
      <c r="H30" s="7" t="s">
        <v>972</v>
      </c>
      <c r="I30" s="7">
        <v>0</v>
      </c>
      <c r="J30" s="7" t="s">
        <v>1279</v>
      </c>
      <c r="L30" s="7">
        <v>0</v>
      </c>
      <c r="M30" s="7" t="s">
        <v>1261</v>
      </c>
      <c r="P30" s="7" t="s">
        <v>1262</v>
      </c>
      <c r="U30" s="7" t="s">
        <v>982</v>
      </c>
      <c r="AA30" s="7" t="s">
        <v>976</v>
      </c>
      <c r="AE30" s="7" t="s">
        <v>976</v>
      </c>
      <c r="AG30" s="7" t="s">
        <v>1268</v>
      </c>
      <c r="AI30" s="7" t="s">
        <v>976</v>
      </c>
      <c r="BV30" s="7" t="s">
        <v>972</v>
      </c>
      <c r="BW30" s="7" t="s">
        <v>976</v>
      </c>
      <c r="BZ30" s="7" t="s">
        <v>977</v>
      </c>
      <c r="CB30" s="7" t="s">
        <v>972</v>
      </c>
      <c r="CC30" s="7">
        <v>0</v>
      </c>
      <c r="CD30" s="7" t="s">
        <v>990</v>
      </c>
      <c r="CE30" s="7" t="s">
        <v>1280</v>
      </c>
      <c r="CF30" s="7">
        <v>0</v>
      </c>
      <c r="CG30" s="7" t="s">
        <v>1156</v>
      </c>
      <c r="CH30" s="7" t="s">
        <v>1040</v>
      </c>
      <c r="CI30" s="7" t="s">
        <v>972</v>
      </c>
      <c r="CJ30" s="8">
        <v>30000</v>
      </c>
      <c r="CN30" s="8">
        <v>30000</v>
      </c>
      <c r="CO30" s="7" t="s">
        <v>983</v>
      </c>
      <c r="CU30" s="7" t="s">
        <v>976</v>
      </c>
      <c r="CW30" s="7" t="s">
        <v>1268</v>
      </c>
    </row>
    <row r="31" spans="1:101" ht="63.75" x14ac:dyDescent="0.2">
      <c r="A31" s="14" t="s">
        <v>923</v>
      </c>
      <c r="B31" s="15" t="s">
        <v>972</v>
      </c>
      <c r="C31" s="15" t="s">
        <v>976</v>
      </c>
      <c r="D31" s="15"/>
      <c r="E31" s="15"/>
      <c r="F31" s="15" t="s">
        <v>977</v>
      </c>
      <c r="G31" s="15"/>
      <c r="H31" s="15" t="s">
        <v>972</v>
      </c>
      <c r="I31" s="15">
        <v>1</v>
      </c>
      <c r="J31" s="15" t="s">
        <v>1296</v>
      </c>
      <c r="K31" s="15"/>
      <c r="L31" s="15">
        <v>0</v>
      </c>
      <c r="M31" s="15" t="s">
        <v>1261</v>
      </c>
      <c r="N31" s="15"/>
      <c r="O31" s="16"/>
      <c r="P31" s="15" t="s">
        <v>1262</v>
      </c>
      <c r="Q31" s="15"/>
      <c r="R31" s="15"/>
      <c r="S31" s="15"/>
      <c r="T31" s="16"/>
      <c r="U31" s="15" t="s">
        <v>982</v>
      </c>
      <c r="V31" s="15"/>
      <c r="W31" s="15"/>
      <c r="X31" s="15"/>
      <c r="Y31" s="15"/>
      <c r="Z31" s="15"/>
      <c r="AA31" s="15" t="s">
        <v>976</v>
      </c>
      <c r="AB31" s="15"/>
      <c r="AC31" s="15"/>
      <c r="AD31" s="16"/>
      <c r="AE31" s="15" t="s">
        <v>972</v>
      </c>
      <c r="AF31" s="15" t="s">
        <v>1297</v>
      </c>
      <c r="AG31" s="15" t="s">
        <v>1282</v>
      </c>
      <c r="AH31" s="15"/>
      <c r="AI31" s="15" t="s">
        <v>972</v>
      </c>
      <c r="AJ31" s="15" t="s">
        <v>1003</v>
      </c>
      <c r="AK31" s="15"/>
      <c r="AL31" s="15" t="s">
        <v>1166</v>
      </c>
      <c r="AM31" s="15"/>
      <c r="AN31" s="15"/>
      <c r="AO31" s="15" t="s">
        <v>976</v>
      </c>
      <c r="AP31" s="15"/>
      <c r="AQ31" s="15"/>
      <c r="AR31" s="15" t="s">
        <v>977</v>
      </c>
      <c r="AS31" s="15"/>
      <c r="AT31" s="15" t="s">
        <v>972</v>
      </c>
      <c r="AU31" s="15">
        <v>1</v>
      </c>
      <c r="AV31" s="15" t="s">
        <v>1276</v>
      </c>
      <c r="AW31" s="15"/>
      <c r="AX31" s="15" t="s">
        <v>990</v>
      </c>
      <c r="AY31" s="15" t="s">
        <v>1298</v>
      </c>
      <c r="AZ31" s="15" t="s">
        <v>1260</v>
      </c>
      <c r="BA31" s="15"/>
      <c r="BB31" s="15">
        <v>0</v>
      </c>
      <c r="BC31" s="15" t="s">
        <v>1191</v>
      </c>
      <c r="BD31" s="15" t="s">
        <v>1261</v>
      </c>
      <c r="BE31" s="15"/>
      <c r="BF31" s="16"/>
      <c r="BG31" s="15" t="s">
        <v>1262</v>
      </c>
      <c r="BH31" s="15"/>
      <c r="BI31" s="15"/>
      <c r="BJ31" s="15"/>
      <c r="BK31" s="16"/>
      <c r="BL31" s="15" t="s">
        <v>982</v>
      </c>
      <c r="BM31" s="15"/>
      <c r="BN31" s="15"/>
      <c r="BO31" s="15"/>
      <c r="BP31" s="15"/>
      <c r="BQ31" s="15"/>
      <c r="BR31" s="15" t="s">
        <v>976</v>
      </c>
      <c r="BS31" s="15"/>
      <c r="BT31" s="15" t="s">
        <v>990</v>
      </c>
      <c r="BU31" s="15" t="s">
        <v>1282</v>
      </c>
      <c r="BV31" s="15" t="s">
        <v>972</v>
      </c>
      <c r="BW31" s="15" t="s">
        <v>972</v>
      </c>
      <c r="BX31" s="15">
        <v>20</v>
      </c>
      <c r="BY31" s="15" t="s">
        <v>972</v>
      </c>
      <c r="BZ31" s="15" t="s">
        <v>977</v>
      </c>
      <c r="CA31" s="15"/>
      <c r="CB31" s="15" t="s">
        <v>972</v>
      </c>
      <c r="CC31" s="15">
        <v>1</v>
      </c>
      <c r="CD31" s="15" t="s">
        <v>990</v>
      </c>
      <c r="CE31" s="15" t="s">
        <v>1299</v>
      </c>
      <c r="CF31" s="15">
        <v>0</v>
      </c>
      <c r="CG31" s="15" t="s">
        <v>1156</v>
      </c>
      <c r="CH31" s="15" t="s">
        <v>1261</v>
      </c>
      <c r="CI31" s="15"/>
      <c r="CJ31" s="16"/>
      <c r="CK31" s="15">
        <v>5</v>
      </c>
      <c r="CL31" s="15"/>
      <c r="CM31" s="15"/>
      <c r="CN31" s="16">
        <v>500000</v>
      </c>
      <c r="CO31" s="15" t="s">
        <v>983</v>
      </c>
      <c r="CP31" s="15"/>
      <c r="CQ31" s="15"/>
      <c r="CR31" s="15"/>
      <c r="CS31" s="15"/>
      <c r="CT31" s="15"/>
      <c r="CU31" s="15" t="s">
        <v>976</v>
      </c>
      <c r="CV31" s="15"/>
      <c r="CW31" s="15" t="s">
        <v>1268</v>
      </c>
    </row>
    <row r="32" spans="1:101" s="14" customFormat="1" ht="25.5" x14ac:dyDescent="0.2">
      <c r="A32" s="6" t="s">
        <v>935</v>
      </c>
      <c r="B32" s="7" t="s">
        <v>972</v>
      </c>
      <c r="C32" s="7" t="s">
        <v>976</v>
      </c>
      <c r="D32" s="7"/>
      <c r="E32" s="7"/>
      <c r="F32" s="7" t="s">
        <v>977</v>
      </c>
      <c r="G32" s="7"/>
      <c r="H32" s="7" t="s">
        <v>972</v>
      </c>
      <c r="I32" s="7">
        <v>0</v>
      </c>
      <c r="J32" s="7" t="s">
        <v>1260</v>
      </c>
      <c r="K32" s="7"/>
      <c r="L32" s="7">
        <v>0</v>
      </c>
      <c r="M32" s="7" t="s">
        <v>1261</v>
      </c>
      <c r="N32" s="7"/>
      <c r="O32" s="8"/>
      <c r="P32" s="7" t="s">
        <v>1262</v>
      </c>
      <c r="Q32" s="7"/>
      <c r="R32" s="7"/>
      <c r="S32" s="7"/>
      <c r="T32" s="8"/>
      <c r="U32" s="7" t="s">
        <v>982</v>
      </c>
      <c r="V32" s="7"/>
      <c r="W32" s="7"/>
      <c r="X32" s="7"/>
      <c r="Y32" s="7"/>
      <c r="Z32" s="7"/>
      <c r="AA32" s="7" t="s">
        <v>976</v>
      </c>
      <c r="AB32" s="7"/>
      <c r="AC32" s="7"/>
      <c r="AD32" s="8"/>
      <c r="AE32" s="7" t="s">
        <v>976</v>
      </c>
      <c r="AF32" s="7"/>
      <c r="AG32" s="7" t="s">
        <v>1268</v>
      </c>
      <c r="AH32" s="7"/>
      <c r="AI32" s="7" t="s">
        <v>976</v>
      </c>
      <c r="AJ32" s="7"/>
      <c r="AK32" s="7"/>
      <c r="AL32" s="7"/>
      <c r="AM32" s="7"/>
      <c r="AN32" s="7"/>
      <c r="AO32" s="7"/>
      <c r="AP32" s="7"/>
      <c r="AQ32" s="7"/>
      <c r="AR32" s="7"/>
      <c r="AS32" s="7"/>
      <c r="AT32" s="7"/>
      <c r="AU32" s="7"/>
      <c r="AV32" s="7"/>
      <c r="AW32" s="7"/>
      <c r="AX32" s="7"/>
      <c r="AY32" s="7"/>
      <c r="AZ32" s="7"/>
      <c r="BA32" s="7"/>
      <c r="BB32" s="7"/>
      <c r="BC32" s="7"/>
      <c r="BD32" s="7"/>
      <c r="BE32" s="7"/>
      <c r="BF32" s="8"/>
      <c r="BG32" s="7"/>
      <c r="BH32" s="7"/>
      <c r="BI32" s="7"/>
      <c r="BJ32" s="7"/>
      <c r="BK32" s="8"/>
      <c r="BL32" s="7"/>
      <c r="BM32" s="7"/>
      <c r="BN32" s="7"/>
      <c r="BO32" s="7"/>
      <c r="BP32" s="7"/>
      <c r="BQ32" s="7"/>
      <c r="BR32" s="7"/>
      <c r="BS32" s="7"/>
      <c r="BT32" s="7"/>
      <c r="BU32" s="7"/>
      <c r="BV32" s="7" t="s">
        <v>972</v>
      </c>
      <c r="BW32" s="7" t="s">
        <v>976</v>
      </c>
      <c r="BX32" s="7"/>
      <c r="BY32" s="7"/>
      <c r="BZ32" s="7" t="s">
        <v>977</v>
      </c>
      <c r="CA32" s="7"/>
      <c r="CB32" s="7" t="s">
        <v>972</v>
      </c>
      <c r="CC32" s="7">
        <v>0</v>
      </c>
      <c r="CD32" s="7" t="s">
        <v>990</v>
      </c>
      <c r="CE32" s="7" t="s">
        <v>1307</v>
      </c>
      <c r="CF32" s="7">
        <v>0</v>
      </c>
      <c r="CG32" s="7" t="s">
        <v>1156</v>
      </c>
      <c r="CH32" s="7" t="s">
        <v>994</v>
      </c>
      <c r="CI32" s="7"/>
      <c r="CJ32" s="8"/>
      <c r="CK32" s="7"/>
      <c r="CL32" s="7"/>
      <c r="CM32" s="7" t="s">
        <v>1308</v>
      </c>
      <c r="CN32" s="8">
        <v>300000</v>
      </c>
      <c r="CO32" s="7" t="s">
        <v>983</v>
      </c>
      <c r="CP32" s="7"/>
      <c r="CQ32" s="7"/>
      <c r="CR32" s="7"/>
      <c r="CS32" s="7"/>
      <c r="CT32" s="7"/>
      <c r="CU32" s="7" t="s">
        <v>976</v>
      </c>
      <c r="CV32" s="7"/>
      <c r="CW32" s="7" t="s">
        <v>1300</v>
      </c>
    </row>
    <row r="33" spans="1:101" x14ac:dyDescent="0.2">
      <c r="A33" s="6" t="s">
        <v>915</v>
      </c>
      <c r="B33" s="7" t="s">
        <v>972</v>
      </c>
      <c r="C33" s="7" t="s">
        <v>976</v>
      </c>
      <c r="F33" s="7" t="s">
        <v>977</v>
      </c>
      <c r="H33" s="7" t="s">
        <v>972</v>
      </c>
      <c r="I33" s="7">
        <v>1</v>
      </c>
      <c r="J33" s="7" t="s">
        <v>1260</v>
      </c>
      <c r="L33" s="7">
        <v>1</v>
      </c>
      <c r="M33" s="7" t="s">
        <v>1261</v>
      </c>
      <c r="P33" s="7" t="s">
        <v>1262</v>
      </c>
      <c r="T33" s="8">
        <v>1350000</v>
      </c>
      <c r="U33" s="7" t="s">
        <v>982</v>
      </c>
      <c r="AA33" s="7" t="s">
        <v>976</v>
      </c>
      <c r="AE33" s="7" t="s">
        <v>976</v>
      </c>
      <c r="AG33" s="7" t="s">
        <v>990</v>
      </c>
      <c r="AH33" s="7" t="s">
        <v>1168</v>
      </c>
      <c r="AI33" s="7" t="s">
        <v>976</v>
      </c>
      <c r="BV33" s="7" t="s">
        <v>976</v>
      </c>
    </row>
    <row r="34" spans="1:101" ht="25.5" x14ac:dyDescent="0.2">
      <c r="A34" s="6" t="s">
        <v>945</v>
      </c>
      <c r="B34" s="7" t="s">
        <v>972</v>
      </c>
      <c r="C34" s="7" t="s">
        <v>976</v>
      </c>
      <c r="F34" s="7" t="s">
        <v>977</v>
      </c>
      <c r="H34" s="7" t="s">
        <v>972</v>
      </c>
      <c r="J34" s="7" t="s">
        <v>1260</v>
      </c>
      <c r="L34" s="7">
        <v>0</v>
      </c>
      <c r="M34" s="7" t="s">
        <v>1261</v>
      </c>
      <c r="P34" s="7" t="s">
        <v>990</v>
      </c>
      <c r="Q34" s="7" t="s">
        <v>1264</v>
      </c>
      <c r="U34" s="7" t="s">
        <v>982</v>
      </c>
      <c r="AA34" s="7" t="s">
        <v>972</v>
      </c>
      <c r="AB34" s="7" t="s">
        <v>1258</v>
      </c>
      <c r="AD34" s="8">
        <v>250000</v>
      </c>
      <c r="AE34" s="7" t="s">
        <v>976</v>
      </c>
      <c r="AG34" s="7" t="s">
        <v>990</v>
      </c>
      <c r="AH34" s="7" t="s">
        <v>1301</v>
      </c>
      <c r="AI34" s="7" t="s">
        <v>976</v>
      </c>
      <c r="BV34" s="7" t="s">
        <v>972</v>
      </c>
      <c r="BW34" s="7" t="s">
        <v>972</v>
      </c>
      <c r="BX34" s="7">
        <v>10</v>
      </c>
      <c r="BY34" s="7" t="s">
        <v>972</v>
      </c>
      <c r="BZ34" s="7" t="s">
        <v>977</v>
      </c>
      <c r="CB34" s="7" t="s">
        <v>972</v>
      </c>
      <c r="CD34" s="7" t="s">
        <v>990</v>
      </c>
      <c r="CE34" s="7" t="s">
        <v>1314</v>
      </c>
      <c r="CF34" s="7">
        <v>0</v>
      </c>
      <c r="CG34" s="7" t="s">
        <v>1156</v>
      </c>
      <c r="CH34" s="7" t="s">
        <v>994</v>
      </c>
      <c r="CM34" s="7" t="s">
        <v>1315</v>
      </c>
      <c r="CN34" s="8">
        <v>500000</v>
      </c>
      <c r="CO34" s="7" t="s">
        <v>982</v>
      </c>
      <c r="CU34" s="7" t="s">
        <v>976</v>
      </c>
      <c r="CW34" s="7" t="s">
        <v>1168</v>
      </c>
    </row>
    <row r="35" spans="1:101" x14ac:dyDescent="0.2">
      <c r="A35" s="6" t="s">
        <v>924</v>
      </c>
      <c r="B35" s="7" t="s">
        <v>972</v>
      </c>
      <c r="C35" s="7" t="s">
        <v>976</v>
      </c>
      <c r="F35" s="7" t="s">
        <v>977</v>
      </c>
      <c r="H35" s="7" t="s">
        <v>976</v>
      </c>
      <c r="J35" s="7" t="s">
        <v>1260</v>
      </c>
      <c r="L35" s="7">
        <v>0</v>
      </c>
      <c r="M35" s="7" t="s">
        <v>1261</v>
      </c>
      <c r="P35" s="7" t="s">
        <v>1262</v>
      </c>
      <c r="U35" s="7" t="s">
        <v>982</v>
      </c>
      <c r="AA35" s="7" t="s">
        <v>976</v>
      </c>
      <c r="AE35" s="7" t="s">
        <v>976</v>
      </c>
      <c r="AG35" s="7" t="s">
        <v>990</v>
      </c>
      <c r="AH35" s="7" t="s">
        <v>1300</v>
      </c>
      <c r="AI35" s="7" t="s">
        <v>976</v>
      </c>
      <c r="BV35" s="7" t="s">
        <v>976</v>
      </c>
    </row>
    <row r="36" spans="1:101" x14ac:dyDescent="0.2">
      <c r="A36" s="6" t="s">
        <v>925</v>
      </c>
      <c r="B36" s="7" t="s">
        <v>972</v>
      </c>
      <c r="C36" s="7" t="s">
        <v>976</v>
      </c>
      <c r="F36" s="7" t="s">
        <v>977</v>
      </c>
      <c r="H36" s="7" t="s">
        <v>972</v>
      </c>
      <c r="J36" s="7" t="s">
        <v>1260</v>
      </c>
      <c r="L36" s="7">
        <v>0</v>
      </c>
      <c r="M36" s="7" t="s">
        <v>1261</v>
      </c>
      <c r="P36" s="7" t="s">
        <v>1262</v>
      </c>
      <c r="U36" s="7" t="s">
        <v>982</v>
      </c>
      <c r="AA36" s="7" t="s">
        <v>976</v>
      </c>
      <c r="AE36" s="7" t="s">
        <v>976</v>
      </c>
      <c r="AG36" s="7" t="s">
        <v>1268</v>
      </c>
      <c r="AI36" s="7" t="s">
        <v>976</v>
      </c>
      <c r="BV36" s="7" t="s">
        <v>976</v>
      </c>
    </row>
    <row r="37" spans="1:101" ht="51" x14ac:dyDescent="0.2">
      <c r="A37" s="6" t="s">
        <v>3376</v>
      </c>
      <c r="B37" s="10" t="s">
        <v>972</v>
      </c>
      <c r="C37" s="10" t="s">
        <v>972</v>
      </c>
      <c r="D37" s="10">
        <v>1</v>
      </c>
      <c r="E37" s="10" t="s">
        <v>976</v>
      </c>
      <c r="F37" s="10" t="s">
        <v>977</v>
      </c>
      <c r="G37" s="10"/>
      <c r="H37" s="10" t="s">
        <v>972</v>
      </c>
      <c r="I37" s="10">
        <v>20</v>
      </c>
      <c r="J37" s="10" t="s">
        <v>1260</v>
      </c>
      <c r="K37" s="10"/>
      <c r="L37" s="10">
        <v>0</v>
      </c>
      <c r="M37" s="10" t="s">
        <v>1261</v>
      </c>
      <c r="N37" s="10"/>
      <c r="O37" s="11"/>
      <c r="P37" s="10" t="s">
        <v>1292</v>
      </c>
      <c r="Q37" s="10"/>
      <c r="R37" s="10"/>
      <c r="S37" s="10"/>
      <c r="T37" s="11">
        <v>1250000</v>
      </c>
      <c r="U37" s="10" t="s">
        <v>982</v>
      </c>
      <c r="V37" s="10"/>
      <c r="W37" s="10"/>
      <c r="X37" s="10"/>
      <c r="Y37" s="10"/>
      <c r="Z37" s="10"/>
      <c r="AA37" s="10" t="s">
        <v>976</v>
      </c>
      <c r="AB37" s="10"/>
      <c r="AC37" s="10"/>
      <c r="AD37" s="11"/>
      <c r="AE37" s="10" t="s">
        <v>976</v>
      </c>
      <c r="AF37" s="10"/>
      <c r="AG37" s="10" t="s">
        <v>1282</v>
      </c>
      <c r="AH37" s="10"/>
      <c r="AI37" s="10" t="s">
        <v>972</v>
      </c>
      <c r="AJ37" s="10" t="s">
        <v>1003</v>
      </c>
      <c r="AK37" s="10"/>
      <c r="AL37" s="10" t="s">
        <v>1166</v>
      </c>
      <c r="AM37" s="10"/>
      <c r="AN37" s="10"/>
      <c r="AO37" s="10" t="s">
        <v>972</v>
      </c>
      <c r="AP37" s="10">
        <v>12</v>
      </c>
      <c r="AQ37" s="10" t="s">
        <v>976</v>
      </c>
      <c r="AR37" s="10" t="s">
        <v>977</v>
      </c>
      <c r="AS37" s="10"/>
      <c r="AT37" s="10" t="s">
        <v>972</v>
      </c>
      <c r="AU37" s="10">
        <v>20</v>
      </c>
      <c r="AV37" s="10" t="s">
        <v>1316</v>
      </c>
      <c r="AW37" s="10"/>
      <c r="AX37" s="10"/>
      <c r="AY37" s="10"/>
      <c r="AZ37" s="10" t="s">
        <v>1260</v>
      </c>
      <c r="BA37" s="10"/>
      <c r="BB37" s="10">
        <v>0</v>
      </c>
      <c r="BC37" s="10" t="s">
        <v>1156</v>
      </c>
      <c r="BD37" s="10" t="s">
        <v>1040</v>
      </c>
      <c r="BE37" s="10" t="s">
        <v>976</v>
      </c>
      <c r="BF37" s="11"/>
      <c r="BG37" s="10"/>
      <c r="BH37" s="10"/>
      <c r="BI37" s="10"/>
      <c r="BJ37" s="10"/>
      <c r="BK37" s="11">
        <v>25000</v>
      </c>
      <c r="BL37" s="10" t="s">
        <v>983</v>
      </c>
      <c r="BM37" s="10"/>
      <c r="BN37" s="10"/>
      <c r="BO37" s="10"/>
      <c r="BP37" s="10"/>
      <c r="BQ37" s="10"/>
      <c r="BR37" s="10" t="s">
        <v>972</v>
      </c>
      <c r="BS37" s="10" t="s">
        <v>3381</v>
      </c>
      <c r="BT37" s="10" t="s">
        <v>1278</v>
      </c>
      <c r="BU37" s="10"/>
      <c r="BV37" s="10" t="s">
        <v>972</v>
      </c>
      <c r="BW37" s="10" t="s">
        <v>972</v>
      </c>
      <c r="BX37" s="10">
        <v>20</v>
      </c>
      <c r="BY37" s="10" t="s">
        <v>976</v>
      </c>
      <c r="BZ37" s="10" t="s">
        <v>977</v>
      </c>
      <c r="CA37" s="10"/>
      <c r="CB37" s="10" t="s">
        <v>972</v>
      </c>
      <c r="CC37" s="10">
        <v>20</v>
      </c>
      <c r="CD37" s="10" t="s">
        <v>1260</v>
      </c>
      <c r="CE37" s="10"/>
      <c r="CF37" s="10">
        <v>0</v>
      </c>
      <c r="CG37" s="10" t="s">
        <v>1156</v>
      </c>
      <c r="CH37" s="10" t="s">
        <v>1040</v>
      </c>
      <c r="CI37" s="10" t="s">
        <v>976</v>
      </c>
      <c r="CJ37" s="11">
        <v>12500</v>
      </c>
      <c r="CK37" s="10"/>
      <c r="CL37" s="10"/>
      <c r="CM37" s="10"/>
      <c r="CN37" s="11">
        <v>250000</v>
      </c>
      <c r="CO37" s="10" t="s">
        <v>983</v>
      </c>
      <c r="CP37" s="10"/>
      <c r="CQ37" s="10"/>
      <c r="CR37" s="10"/>
      <c r="CS37" s="10"/>
      <c r="CT37" s="10"/>
      <c r="CU37" s="10" t="s">
        <v>976</v>
      </c>
      <c r="CV37" s="10"/>
      <c r="CW37" s="10" t="s">
        <v>1263</v>
      </c>
    </row>
    <row r="38" spans="1:101" s="14" customFormat="1" x14ac:dyDescent="0.2">
      <c r="A38" s="14" t="s">
        <v>952</v>
      </c>
      <c r="B38" s="15" t="s">
        <v>972</v>
      </c>
      <c r="C38" s="15" t="s">
        <v>976</v>
      </c>
      <c r="D38" s="15"/>
      <c r="E38" s="15"/>
      <c r="F38" s="15" t="s">
        <v>977</v>
      </c>
      <c r="G38" s="15"/>
      <c r="H38" s="15" t="s">
        <v>972</v>
      </c>
      <c r="I38" s="15">
        <v>0</v>
      </c>
      <c r="J38" s="15" t="s">
        <v>1260</v>
      </c>
      <c r="K38" s="15"/>
      <c r="L38" s="15">
        <v>0</v>
      </c>
      <c r="M38" s="15" t="s">
        <v>1261</v>
      </c>
      <c r="N38" s="15"/>
      <c r="O38" s="16"/>
      <c r="P38" s="15" t="s">
        <v>1262</v>
      </c>
      <c r="Q38" s="15"/>
      <c r="R38" s="15"/>
      <c r="S38" s="15"/>
      <c r="T38" s="16">
        <v>10000000</v>
      </c>
      <c r="U38" s="15" t="s">
        <v>982</v>
      </c>
      <c r="V38" s="15"/>
      <c r="W38" s="15"/>
      <c r="X38" s="15"/>
      <c r="Y38" s="15"/>
      <c r="Z38" s="15"/>
      <c r="AA38" s="15" t="s">
        <v>976</v>
      </c>
      <c r="AB38" s="15"/>
      <c r="AC38" s="15"/>
      <c r="AD38" s="16"/>
      <c r="AE38" s="15" t="s">
        <v>976</v>
      </c>
      <c r="AF38" s="15"/>
      <c r="AG38" s="15" t="s">
        <v>1268</v>
      </c>
      <c r="AH38" s="15"/>
      <c r="AI38" s="15" t="s">
        <v>976</v>
      </c>
      <c r="AJ38" s="15"/>
      <c r="AK38" s="15"/>
      <c r="AL38" s="15"/>
      <c r="AM38" s="15"/>
      <c r="AN38" s="15"/>
      <c r="AO38" s="15"/>
      <c r="AP38" s="15"/>
      <c r="AQ38" s="15"/>
      <c r="AR38" s="15"/>
      <c r="AS38" s="15"/>
      <c r="AT38" s="15"/>
      <c r="AU38" s="15"/>
      <c r="AV38" s="15"/>
      <c r="AW38" s="15"/>
      <c r="AX38" s="15"/>
      <c r="AY38" s="15"/>
      <c r="AZ38" s="15"/>
      <c r="BA38" s="15"/>
      <c r="BB38" s="15"/>
      <c r="BC38" s="15"/>
      <c r="BD38" s="15"/>
      <c r="BE38" s="15"/>
      <c r="BF38" s="16"/>
      <c r="BG38" s="15"/>
      <c r="BH38" s="15"/>
      <c r="BI38" s="15"/>
      <c r="BJ38" s="15"/>
      <c r="BK38" s="16"/>
      <c r="BL38" s="15"/>
      <c r="BM38" s="15"/>
      <c r="BN38" s="15"/>
      <c r="BO38" s="15"/>
      <c r="BP38" s="15"/>
      <c r="BQ38" s="15"/>
      <c r="BR38" s="15"/>
      <c r="BS38" s="15"/>
      <c r="BT38" s="15"/>
      <c r="BU38" s="15"/>
      <c r="BV38" s="15" t="s">
        <v>976</v>
      </c>
      <c r="BW38" s="15"/>
      <c r="BX38" s="15"/>
      <c r="BY38" s="15"/>
      <c r="BZ38" s="15"/>
      <c r="CA38" s="15"/>
      <c r="CB38" s="15"/>
      <c r="CC38" s="15"/>
      <c r="CD38" s="15"/>
      <c r="CE38" s="15"/>
      <c r="CF38" s="15"/>
      <c r="CG38" s="15"/>
      <c r="CH38" s="15"/>
      <c r="CI38" s="15"/>
      <c r="CJ38" s="16"/>
      <c r="CK38" s="15"/>
      <c r="CL38" s="15"/>
      <c r="CM38" s="15"/>
      <c r="CN38" s="16"/>
      <c r="CO38" s="15"/>
      <c r="CP38" s="15"/>
      <c r="CQ38" s="15"/>
      <c r="CR38" s="15"/>
      <c r="CS38" s="15"/>
      <c r="CT38" s="15"/>
      <c r="CU38" s="15"/>
      <c r="CV38" s="15"/>
      <c r="CW38" s="15"/>
    </row>
    <row r="39" spans="1:101" ht="25.5" x14ac:dyDescent="0.2">
      <c r="A39" s="6" t="s">
        <v>921</v>
      </c>
      <c r="B39" s="7" t="s">
        <v>972</v>
      </c>
      <c r="C39" s="7" t="s">
        <v>976</v>
      </c>
      <c r="F39" s="7" t="s">
        <v>977</v>
      </c>
      <c r="H39" s="7" t="s">
        <v>976</v>
      </c>
      <c r="J39" s="7" t="s">
        <v>1260</v>
      </c>
      <c r="L39" s="7">
        <v>0</v>
      </c>
      <c r="M39" s="7" t="s">
        <v>1261</v>
      </c>
      <c r="P39" s="7" t="s">
        <v>1262</v>
      </c>
      <c r="U39" s="7" t="s">
        <v>982</v>
      </c>
      <c r="AA39" s="7" t="s">
        <v>976</v>
      </c>
      <c r="AE39" s="7" t="s">
        <v>976</v>
      </c>
      <c r="AG39" s="7" t="s">
        <v>990</v>
      </c>
      <c r="AH39" s="7" t="s">
        <v>1275</v>
      </c>
      <c r="AI39" s="7" t="s">
        <v>972</v>
      </c>
      <c r="AO39" s="7" t="s">
        <v>976</v>
      </c>
      <c r="AR39" s="7" t="s">
        <v>977</v>
      </c>
      <c r="AT39" s="7" t="s">
        <v>976</v>
      </c>
      <c r="AV39" s="7" t="s">
        <v>990</v>
      </c>
      <c r="AW39" s="7" t="s">
        <v>1293</v>
      </c>
      <c r="AZ39" s="7" t="s">
        <v>1260</v>
      </c>
      <c r="BB39" s="7">
        <v>0</v>
      </c>
      <c r="BC39" s="7" t="s">
        <v>1191</v>
      </c>
      <c r="BD39" s="7" t="s">
        <v>1261</v>
      </c>
      <c r="BG39" s="7" t="s">
        <v>1277</v>
      </c>
      <c r="BK39" s="8">
        <v>50000</v>
      </c>
      <c r="BL39" s="7" t="s">
        <v>982</v>
      </c>
      <c r="BR39" s="7" t="s">
        <v>976</v>
      </c>
      <c r="BT39" s="7" t="s">
        <v>1278</v>
      </c>
      <c r="BV39" s="7" t="s">
        <v>972</v>
      </c>
      <c r="BW39" s="7" t="s">
        <v>976</v>
      </c>
      <c r="BZ39" s="7" t="s">
        <v>977</v>
      </c>
      <c r="CB39" s="7" t="s">
        <v>976</v>
      </c>
      <c r="CD39" s="7" t="s">
        <v>1260</v>
      </c>
      <c r="CF39" s="7">
        <v>0</v>
      </c>
      <c r="CG39" s="7" t="s">
        <v>1156</v>
      </c>
      <c r="CH39" s="7" t="s">
        <v>1261</v>
      </c>
      <c r="CK39" s="7">
        <v>5</v>
      </c>
      <c r="CN39" s="8">
        <v>500000</v>
      </c>
      <c r="CU39" s="7" t="s">
        <v>976</v>
      </c>
      <c r="CW39" s="7" t="s">
        <v>1294</v>
      </c>
    </row>
    <row r="40" spans="1:101" x14ac:dyDescent="0.2">
      <c r="A40" s="6" t="s">
        <v>958</v>
      </c>
      <c r="B40" s="7" t="s">
        <v>972</v>
      </c>
      <c r="C40" s="7" t="s">
        <v>976</v>
      </c>
      <c r="F40" s="7" t="s">
        <v>977</v>
      </c>
      <c r="H40" s="7" t="s">
        <v>1023</v>
      </c>
      <c r="J40" s="7" t="s">
        <v>1260</v>
      </c>
      <c r="L40" s="7">
        <v>0</v>
      </c>
      <c r="M40" s="7" t="s">
        <v>1261</v>
      </c>
      <c r="P40" s="7" t="s">
        <v>1262</v>
      </c>
      <c r="T40" s="8">
        <v>2000000</v>
      </c>
      <c r="U40" s="7" t="s">
        <v>982</v>
      </c>
      <c r="AA40" s="7" t="s">
        <v>972</v>
      </c>
      <c r="AB40" s="7" t="s">
        <v>1004</v>
      </c>
      <c r="AD40" s="8">
        <v>25000</v>
      </c>
      <c r="AE40" s="7" t="s">
        <v>976</v>
      </c>
      <c r="AG40" s="7" t="s">
        <v>1268</v>
      </c>
      <c r="AI40" s="7" t="s">
        <v>976</v>
      </c>
      <c r="BV40" s="7" t="s">
        <v>972</v>
      </c>
      <c r="BW40" s="7" t="s">
        <v>976</v>
      </c>
      <c r="BZ40" s="7" t="s">
        <v>977</v>
      </c>
      <c r="CB40" s="7" t="s">
        <v>1023</v>
      </c>
      <c r="CD40" s="7" t="s">
        <v>1260</v>
      </c>
      <c r="CF40" s="7">
        <v>0</v>
      </c>
      <c r="CG40" s="7" t="s">
        <v>1156</v>
      </c>
      <c r="CH40" s="7" t="s">
        <v>1261</v>
      </c>
      <c r="CK40" s="7">
        <v>5</v>
      </c>
      <c r="CN40" s="8">
        <v>25000</v>
      </c>
      <c r="CO40" s="7" t="s">
        <v>982</v>
      </c>
      <c r="CU40" s="7" t="s">
        <v>976</v>
      </c>
      <c r="CW40" s="7" t="s">
        <v>1008</v>
      </c>
    </row>
    <row r="41" spans="1:101" ht="38.25" x14ac:dyDescent="0.2">
      <c r="A41" s="6" t="s">
        <v>962</v>
      </c>
      <c r="B41" s="7" t="s">
        <v>972</v>
      </c>
      <c r="C41" s="7" t="s">
        <v>976</v>
      </c>
      <c r="F41" s="7" t="s">
        <v>1136</v>
      </c>
      <c r="H41" s="7" t="s">
        <v>976</v>
      </c>
      <c r="J41" s="7" t="s">
        <v>1269</v>
      </c>
      <c r="L41" s="7">
        <v>0</v>
      </c>
      <c r="M41" s="7" t="s">
        <v>1261</v>
      </c>
      <c r="P41" s="7" t="s">
        <v>1262</v>
      </c>
      <c r="T41" s="8">
        <v>750000</v>
      </c>
      <c r="U41" s="7" t="s">
        <v>982</v>
      </c>
      <c r="AA41" s="7" t="s">
        <v>976</v>
      </c>
      <c r="AE41" s="7" t="s">
        <v>976</v>
      </c>
      <c r="AG41" s="7" t="s">
        <v>990</v>
      </c>
      <c r="AH41" s="7" t="s">
        <v>1300</v>
      </c>
      <c r="AI41" s="7" t="s">
        <v>976</v>
      </c>
      <c r="BV41" s="7" t="s">
        <v>976</v>
      </c>
    </row>
    <row r="42" spans="1:101" s="14" customFormat="1" ht="25.5" x14ac:dyDescent="0.2">
      <c r="A42" s="6" t="s">
        <v>957</v>
      </c>
      <c r="B42" s="7" t="s">
        <v>972</v>
      </c>
      <c r="C42" s="7" t="s">
        <v>976</v>
      </c>
      <c r="D42" s="7"/>
      <c r="E42" s="7"/>
      <c r="F42" s="7" t="s">
        <v>977</v>
      </c>
      <c r="G42" s="7"/>
      <c r="H42" s="7" t="s">
        <v>972</v>
      </c>
      <c r="I42" s="7">
        <v>1</v>
      </c>
      <c r="J42" s="7" t="s">
        <v>1260</v>
      </c>
      <c r="K42" s="7"/>
      <c r="L42" s="7">
        <v>0</v>
      </c>
      <c r="M42" s="7" t="s">
        <v>1261</v>
      </c>
      <c r="N42" s="7"/>
      <c r="O42" s="8"/>
      <c r="P42" s="7" t="s">
        <v>1262</v>
      </c>
      <c r="Q42" s="7"/>
      <c r="R42" s="7"/>
      <c r="S42" s="7"/>
      <c r="T42" s="8">
        <v>1500000</v>
      </c>
      <c r="U42" s="7" t="s">
        <v>982</v>
      </c>
      <c r="V42" s="7"/>
      <c r="W42" s="7"/>
      <c r="X42" s="7"/>
      <c r="Y42" s="7"/>
      <c r="Z42" s="7"/>
      <c r="AA42" s="7" t="s">
        <v>976</v>
      </c>
      <c r="AB42" s="7"/>
      <c r="AC42" s="7"/>
      <c r="AD42" s="8"/>
      <c r="AE42" s="7" t="s">
        <v>976</v>
      </c>
      <c r="AF42" s="7"/>
      <c r="AG42" s="7" t="s">
        <v>990</v>
      </c>
      <c r="AH42" s="7" t="s">
        <v>1275</v>
      </c>
      <c r="AI42" s="7" t="s">
        <v>972</v>
      </c>
      <c r="AJ42" s="7" t="s">
        <v>1003</v>
      </c>
      <c r="AK42" s="7"/>
      <c r="AL42" s="7" t="s">
        <v>1166</v>
      </c>
      <c r="AM42" s="7"/>
      <c r="AN42" s="7"/>
      <c r="AO42" s="7" t="s">
        <v>976</v>
      </c>
      <c r="AP42" s="7"/>
      <c r="AQ42" s="7"/>
      <c r="AR42" s="7" t="s">
        <v>977</v>
      </c>
      <c r="AS42" s="7"/>
      <c r="AT42" s="7" t="s">
        <v>972</v>
      </c>
      <c r="AU42" s="7">
        <v>1</v>
      </c>
      <c r="AV42" s="7" t="s">
        <v>1276</v>
      </c>
      <c r="AW42" s="7"/>
      <c r="AX42" s="7" t="s">
        <v>1283</v>
      </c>
      <c r="AY42" s="7"/>
      <c r="AZ42" s="7" t="s">
        <v>1260</v>
      </c>
      <c r="BA42" s="7"/>
      <c r="BB42" s="7">
        <v>0</v>
      </c>
      <c r="BC42" s="7" t="s">
        <v>1191</v>
      </c>
      <c r="BD42" s="7" t="s">
        <v>1261</v>
      </c>
      <c r="BE42" s="7"/>
      <c r="BF42" s="8"/>
      <c r="BG42" s="7" t="s">
        <v>1262</v>
      </c>
      <c r="BH42" s="7"/>
      <c r="BI42" s="7"/>
      <c r="BJ42" s="7"/>
      <c r="BK42" s="8">
        <v>1660000</v>
      </c>
      <c r="BL42" s="7" t="s">
        <v>982</v>
      </c>
      <c r="BM42" s="7"/>
      <c r="BN42" s="7"/>
      <c r="BO42" s="7"/>
      <c r="BP42" s="7"/>
      <c r="BQ42" s="7"/>
      <c r="BR42" s="7" t="s">
        <v>976</v>
      </c>
      <c r="BS42" s="7"/>
      <c r="BT42" s="7" t="s">
        <v>1278</v>
      </c>
      <c r="BU42" s="7"/>
      <c r="BV42" s="7" t="s">
        <v>972</v>
      </c>
      <c r="BW42" s="7" t="s">
        <v>976</v>
      </c>
      <c r="BX42" s="7"/>
      <c r="BY42" s="7"/>
      <c r="BZ42" s="7" t="s">
        <v>977</v>
      </c>
      <c r="CA42" s="7"/>
      <c r="CB42" s="7" t="s">
        <v>972</v>
      </c>
      <c r="CC42" s="7">
        <v>1</v>
      </c>
      <c r="CD42" s="7" t="s">
        <v>990</v>
      </c>
      <c r="CE42" s="7" t="s">
        <v>1324</v>
      </c>
      <c r="CF42" s="7">
        <v>0</v>
      </c>
      <c r="CG42" s="7" t="s">
        <v>1156</v>
      </c>
      <c r="CH42" s="7" t="s">
        <v>994</v>
      </c>
      <c r="CI42" s="7"/>
      <c r="CJ42" s="8"/>
      <c r="CK42" s="7"/>
      <c r="CL42" s="7"/>
      <c r="CM42" s="7" t="s">
        <v>1325</v>
      </c>
      <c r="CN42" s="8">
        <v>500000</v>
      </c>
      <c r="CO42" s="7" t="s">
        <v>983</v>
      </c>
      <c r="CP42" s="7"/>
      <c r="CQ42" s="7"/>
      <c r="CR42" s="7"/>
      <c r="CS42" s="7"/>
      <c r="CT42" s="7"/>
      <c r="CU42" s="7" t="s">
        <v>976</v>
      </c>
      <c r="CV42" s="7"/>
      <c r="CW42" s="7" t="s">
        <v>1008</v>
      </c>
    </row>
    <row r="43" spans="1:101" x14ac:dyDescent="0.2">
      <c r="A43" s="6" t="s">
        <v>918</v>
      </c>
      <c r="B43" s="7" t="s">
        <v>972</v>
      </c>
      <c r="C43" s="7" t="s">
        <v>976</v>
      </c>
      <c r="F43" s="7" t="s">
        <v>977</v>
      </c>
      <c r="H43" s="7" t="s">
        <v>1023</v>
      </c>
      <c r="J43" s="7" t="s">
        <v>1260</v>
      </c>
      <c r="L43" s="7">
        <v>0</v>
      </c>
      <c r="M43" s="7" t="s">
        <v>1261</v>
      </c>
      <c r="P43" s="7" t="s">
        <v>990</v>
      </c>
      <c r="Q43" s="7" t="s">
        <v>1281</v>
      </c>
      <c r="U43" s="7" t="s">
        <v>982</v>
      </c>
      <c r="AA43" s="7" t="s">
        <v>976</v>
      </c>
      <c r="AE43" s="7" t="s">
        <v>976</v>
      </c>
      <c r="AG43" s="7" t="s">
        <v>1282</v>
      </c>
      <c r="AI43" s="7" t="s">
        <v>972</v>
      </c>
      <c r="AJ43" s="7" t="s">
        <v>1003</v>
      </c>
      <c r="AL43" s="7" t="s">
        <v>1166</v>
      </c>
      <c r="AO43" s="7" t="s">
        <v>976</v>
      </c>
      <c r="AR43" s="7" t="s">
        <v>977</v>
      </c>
      <c r="AT43" s="7" t="s">
        <v>1023</v>
      </c>
      <c r="AV43" s="7" t="s">
        <v>1276</v>
      </c>
      <c r="AX43" s="7" t="s">
        <v>1283</v>
      </c>
      <c r="AZ43" s="7" t="s">
        <v>1260</v>
      </c>
      <c r="BB43" s="7">
        <v>0</v>
      </c>
      <c r="BC43" s="7" t="s">
        <v>1191</v>
      </c>
      <c r="BD43" s="7" t="s">
        <v>1284</v>
      </c>
      <c r="BI43" s="9">
        <v>0.75</v>
      </c>
      <c r="BL43" s="7" t="s">
        <v>982</v>
      </c>
      <c r="BR43" s="7" t="s">
        <v>976</v>
      </c>
      <c r="BT43" s="7" t="s">
        <v>990</v>
      </c>
      <c r="BU43" s="7" t="s">
        <v>1168</v>
      </c>
      <c r="BV43" s="7" t="s">
        <v>976</v>
      </c>
    </row>
    <row r="44" spans="1:101" s="14" customFormat="1" x14ac:dyDescent="0.2">
      <c r="A44" s="14" t="s">
        <v>965</v>
      </c>
      <c r="B44" s="15" t="s">
        <v>972</v>
      </c>
      <c r="C44" s="15" t="s">
        <v>976</v>
      </c>
      <c r="D44" s="15"/>
      <c r="E44" s="15"/>
      <c r="F44" s="15" t="s">
        <v>977</v>
      </c>
      <c r="G44" s="15"/>
      <c r="H44" s="15" t="s">
        <v>972</v>
      </c>
      <c r="I44" s="15">
        <v>1</v>
      </c>
      <c r="J44" s="15" t="s">
        <v>1260</v>
      </c>
      <c r="K44" s="15"/>
      <c r="L44" s="15">
        <v>0</v>
      </c>
      <c r="M44" s="15" t="s">
        <v>1261</v>
      </c>
      <c r="N44" s="15"/>
      <c r="O44" s="16"/>
      <c r="P44" s="15" t="s">
        <v>1262</v>
      </c>
      <c r="Q44" s="15"/>
      <c r="R44" s="15"/>
      <c r="S44" s="15"/>
      <c r="T44" s="16">
        <v>1500000</v>
      </c>
      <c r="U44" s="15" t="s">
        <v>982</v>
      </c>
      <c r="V44" s="15"/>
      <c r="W44" s="15"/>
      <c r="X44" s="15"/>
      <c r="Y44" s="15"/>
      <c r="Z44" s="15"/>
      <c r="AA44" s="15" t="s">
        <v>976</v>
      </c>
      <c r="AB44" s="15"/>
      <c r="AC44" s="15"/>
      <c r="AD44" s="16"/>
      <c r="AE44" s="15" t="s">
        <v>976</v>
      </c>
      <c r="AF44" s="15"/>
      <c r="AG44" s="15" t="s">
        <v>1268</v>
      </c>
      <c r="AH44" s="15"/>
      <c r="AI44" s="15" t="s">
        <v>976</v>
      </c>
      <c r="AJ44" s="15"/>
      <c r="AK44" s="15"/>
      <c r="AL44" s="15"/>
      <c r="AM44" s="15"/>
      <c r="AN44" s="15"/>
      <c r="AO44" s="15"/>
      <c r="AP44" s="15"/>
      <c r="AQ44" s="15"/>
      <c r="AR44" s="15"/>
      <c r="AS44" s="15"/>
      <c r="AT44" s="15"/>
      <c r="AU44" s="15"/>
      <c r="AV44" s="15"/>
      <c r="AW44" s="15"/>
      <c r="AX44" s="15"/>
      <c r="AY44" s="15"/>
      <c r="AZ44" s="15"/>
      <c r="BA44" s="15"/>
      <c r="BB44" s="15"/>
      <c r="BC44" s="15"/>
      <c r="BD44" s="15"/>
      <c r="BE44" s="15"/>
      <c r="BF44" s="16"/>
      <c r="BG44" s="15"/>
      <c r="BH44" s="15"/>
      <c r="BI44" s="15"/>
      <c r="BJ44" s="15"/>
      <c r="BK44" s="16"/>
      <c r="BL44" s="15"/>
      <c r="BM44" s="15"/>
      <c r="BN44" s="15"/>
      <c r="BO44" s="15"/>
      <c r="BP44" s="15"/>
      <c r="BQ44" s="15"/>
      <c r="BR44" s="15"/>
      <c r="BS44" s="15"/>
      <c r="BT44" s="15"/>
      <c r="BU44" s="15"/>
      <c r="BV44" s="15" t="s">
        <v>1023</v>
      </c>
      <c r="BW44" s="15"/>
      <c r="BX44" s="15"/>
      <c r="BY44" s="15"/>
      <c r="BZ44" s="15"/>
      <c r="CA44" s="15"/>
      <c r="CB44" s="15"/>
      <c r="CC44" s="15"/>
      <c r="CD44" s="15"/>
      <c r="CE44" s="15"/>
      <c r="CF44" s="15"/>
      <c r="CG44" s="15"/>
      <c r="CH44" s="15"/>
      <c r="CI44" s="15"/>
      <c r="CJ44" s="16"/>
      <c r="CK44" s="15"/>
      <c r="CL44" s="15"/>
      <c r="CM44" s="15"/>
      <c r="CN44" s="16"/>
      <c r="CO44" s="15"/>
      <c r="CP44" s="15"/>
      <c r="CQ44" s="15"/>
      <c r="CR44" s="15"/>
      <c r="CS44" s="15"/>
      <c r="CT44" s="15"/>
      <c r="CU44" s="15"/>
      <c r="CV44" s="15"/>
      <c r="CW44" s="15"/>
    </row>
    <row r="45" spans="1:101" s="14" customFormat="1" x14ac:dyDescent="0.2">
      <c r="A45" s="6" t="s">
        <v>942</v>
      </c>
      <c r="B45" s="7" t="s">
        <v>972</v>
      </c>
      <c r="C45" s="7" t="s">
        <v>976</v>
      </c>
      <c r="D45" s="7"/>
      <c r="E45" s="7"/>
      <c r="F45" s="7" t="s">
        <v>977</v>
      </c>
      <c r="G45" s="7"/>
      <c r="H45" s="7" t="s">
        <v>972</v>
      </c>
      <c r="I45" s="7">
        <v>0</v>
      </c>
      <c r="J45" s="7" t="s">
        <v>1260</v>
      </c>
      <c r="K45" s="7"/>
      <c r="L45" s="7">
        <v>0</v>
      </c>
      <c r="M45" s="7" t="s">
        <v>1261</v>
      </c>
      <c r="N45" s="7"/>
      <c r="O45" s="8"/>
      <c r="P45" s="7" t="s">
        <v>1292</v>
      </c>
      <c r="Q45" s="7"/>
      <c r="R45" s="7"/>
      <c r="S45" s="7"/>
      <c r="T45" s="8">
        <v>2000000</v>
      </c>
      <c r="U45" s="7" t="s">
        <v>982</v>
      </c>
      <c r="V45" s="7"/>
      <c r="W45" s="7"/>
      <c r="X45" s="7"/>
      <c r="Y45" s="7"/>
      <c r="Z45" s="7"/>
      <c r="AA45" s="7" t="s">
        <v>976</v>
      </c>
      <c r="AB45" s="7"/>
      <c r="AC45" s="7"/>
      <c r="AD45" s="8"/>
      <c r="AE45" s="7" t="s">
        <v>976</v>
      </c>
      <c r="AF45" s="7"/>
      <c r="AG45" s="7" t="s">
        <v>990</v>
      </c>
      <c r="AH45" s="7" t="s">
        <v>1300</v>
      </c>
      <c r="AI45" s="7" t="s">
        <v>976</v>
      </c>
      <c r="AJ45" s="7"/>
      <c r="AK45" s="7"/>
      <c r="AL45" s="7"/>
      <c r="AM45" s="7"/>
      <c r="AN45" s="7"/>
      <c r="AO45" s="7"/>
      <c r="AP45" s="7"/>
      <c r="AQ45" s="7"/>
      <c r="AR45" s="7"/>
      <c r="AS45" s="7"/>
      <c r="AT45" s="7"/>
      <c r="AU45" s="7"/>
      <c r="AV45" s="7"/>
      <c r="AW45" s="7"/>
      <c r="AX45" s="7"/>
      <c r="AY45" s="7"/>
      <c r="AZ45" s="7"/>
      <c r="BA45" s="7"/>
      <c r="BB45" s="7"/>
      <c r="BC45" s="7"/>
      <c r="BD45" s="7"/>
      <c r="BE45" s="7"/>
      <c r="BF45" s="8"/>
      <c r="BG45" s="7"/>
      <c r="BH45" s="7"/>
      <c r="BI45" s="7"/>
      <c r="BJ45" s="7"/>
      <c r="BK45" s="8"/>
      <c r="BL45" s="7"/>
      <c r="BM45" s="7"/>
      <c r="BN45" s="7"/>
      <c r="BO45" s="7"/>
      <c r="BP45" s="7"/>
      <c r="BQ45" s="7"/>
      <c r="BR45" s="7"/>
      <c r="BS45" s="7"/>
      <c r="BT45" s="7"/>
      <c r="BU45" s="7"/>
      <c r="BV45" s="7" t="s">
        <v>972</v>
      </c>
      <c r="BW45" s="7" t="s">
        <v>976</v>
      </c>
      <c r="BX45" s="7"/>
      <c r="BY45" s="7"/>
      <c r="BZ45" s="7" t="s">
        <v>977</v>
      </c>
      <c r="CA45" s="7"/>
      <c r="CB45" s="7" t="s">
        <v>972</v>
      </c>
      <c r="CC45" s="7">
        <v>0</v>
      </c>
      <c r="CD45" s="7" t="s">
        <v>1260</v>
      </c>
      <c r="CE45" s="7"/>
      <c r="CF45" s="7">
        <v>0</v>
      </c>
      <c r="CG45" s="7" t="s">
        <v>1191</v>
      </c>
      <c r="CH45" s="7" t="s">
        <v>1284</v>
      </c>
      <c r="CI45" s="7"/>
      <c r="CJ45" s="8"/>
      <c r="CK45" s="7"/>
      <c r="CL45" s="9">
        <v>0.66</v>
      </c>
      <c r="CM45" s="7"/>
      <c r="CN45" s="8">
        <v>150000</v>
      </c>
      <c r="CO45" s="7" t="s">
        <v>982</v>
      </c>
      <c r="CP45" s="7"/>
      <c r="CQ45" s="7"/>
      <c r="CR45" s="7"/>
      <c r="CS45" s="7"/>
      <c r="CT45" s="7"/>
      <c r="CU45" s="7" t="s">
        <v>976</v>
      </c>
      <c r="CV45" s="7"/>
      <c r="CW45" s="7" t="s">
        <v>1300</v>
      </c>
    </row>
    <row r="46" spans="1:101" s="14" customFormat="1" x14ac:dyDescent="0.2">
      <c r="A46" s="6" t="s">
        <v>955</v>
      </c>
      <c r="B46" s="7" t="s">
        <v>972</v>
      </c>
      <c r="C46" s="7" t="s">
        <v>976</v>
      </c>
      <c r="D46" s="7"/>
      <c r="E46" s="7"/>
      <c r="F46" s="7" t="s">
        <v>977</v>
      </c>
      <c r="G46" s="7"/>
      <c r="H46" s="7" t="s">
        <v>972</v>
      </c>
      <c r="I46" s="7">
        <v>8</v>
      </c>
      <c r="J46" s="7" t="s">
        <v>1260</v>
      </c>
      <c r="K46" s="7"/>
      <c r="L46" s="7">
        <v>0</v>
      </c>
      <c r="M46" s="7" t="s">
        <v>1261</v>
      </c>
      <c r="N46" s="7"/>
      <c r="O46" s="8"/>
      <c r="P46" s="7" t="s">
        <v>1262</v>
      </c>
      <c r="Q46" s="7"/>
      <c r="R46" s="7"/>
      <c r="S46" s="7"/>
      <c r="T46" s="8">
        <v>1250000</v>
      </c>
      <c r="U46" s="7" t="s">
        <v>982</v>
      </c>
      <c r="V46" s="7"/>
      <c r="W46" s="7"/>
      <c r="X46" s="7"/>
      <c r="Y46" s="7"/>
      <c r="Z46" s="7"/>
      <c r="AA46" s="7" t="s">
        <v>976</v>
      </c>
      <c r="AB46" s="7"/>
      <c r="AC46" s="7"/>
      <c r="AD46" s="8"/>
      <c r="AE46" s="7" t="s">
        <v>976</v>
      </c>
      <c r="AF46" s="7"/>
      <c r="AG46" s="7" t="s">
        <v>1268</v>
      </c>
      <c r="AH46" s="7"/>
      <c r="AI46" s="7" t="s">
        <v>976</v>
      </c>
      <c r="AJ46" s="7"/>
      <c r="AK46" s="7"/>
      <c r="AL46" s="7"/>
      <c r="AM46" s="7"/>
      <c r="AN46" s="7"/>
      <c r="AO46" s="7"/>
      <c r="AP46" s="7"/>
      <c r="AQ46" s="7"/>
      <c r="AR46" s="7"/>
      <c r="AS46" s="7"/>
      <c r="AT46" s="7"/>
      <c r="AU46" s="7"/>
      <c r="AV46" s="7"/>
      <c r="AW46" s="7"/>
      <c r="AX46" s="7"/>
      <c r="AY46" s="7"/>
      <c r="AZ46" s="7"/>
      <c r="BA46" s="7"/>
      <c r="BB46" s="7"/>
      <c r="BC46" s="7"/>
      <c r="BD46" s="7"/>
      <c r="BE46" s="7"/>
      <c r="BF46" s="8"/>
      <c r="BG46" s="7"/>
      <c r="BH46" s="7"/>
      <c r="BI46" s="7"/>
      <c r="BJ46" s="7"/>
      <c r="BK46" s="8"/>
      <c r="BL46" s="7"/>
      <c r="BM46" s="7"/>
      <c r="BN46" s="7"/>
      <c r="BO46" s="7"/>
      <c r="BP46" s="7"/>
      <c r="BQ46" s="7"/>
      <c r="BR46" s="7"/>
      <c r="BS46" s="7"/>
      <c r="BT46" s="7"/>
      <c r="BU46" s="7"/>
      <c r="BV46" s="7" t="s">
        <v>976</v>
      </c>
      <c r="BW46" s="7"/>
      <c r="BX46" s="7"/>
      <c r="BY46" s="7"/>
      <c r="BZ46" s="7"/>
      <c r="CA46" s="7"/>
      <c r="CB46" s="7"/>
      <c r="CC46" s="7"/>
      <c r="CD46" s="7"/>
      <c r="CE46" s="7"/>
      <c r="CF46" s="7"/>
      <c r="CG46" s="7"/>
      <c r="CH46" s="7"/>
      <c r="CI46" s="7"/>
      <c r="CJ46" s="8"/>
      <c r="CK46" s="7"/>
      <c r="CL46" s="7"/>
      <c r="CM46" s="7"/>
      <c r="CN46" s="8"/>
      <c r="CO46" s="7"/>
      <c r="CP46" s="7"/>
      <c r="CQ46" s="7"/>
      <c r="CR46" s="7"/>
      <c r="CS46" s="7"/>
      <c r="CT46" s="7"/>
      <c r="CU46" s="7"/>
      <c r="CV46" s="7"/>
      <c r="CW46" s="7"/>
    </row>
    <row r="47" spans="1:101" x14ac:dyDescent="0.2">
      <c r="A47" s="12" t="s">
        <v>967</v>
      </c>
      <c r="B47" s="10" t="s">
        <v>972</v>
      </c>
      <c r="C47" s="10" t="s">
        <v>976</v>
      </c>
      <c r="D47" s="10"/>
      <c r="E47" s="10"/>
      <c r="F47" s="10" t="s">
        <v>977</v>
      </c>
      <c r="G47" s="10"/>
      <c r="H47" s="10" t="s">
        <v>972</v>
      </c>
      <c r="I47" s="10">
        <v>1</v>
      </c>
      <c r="J47" s="10" t="s">
        <v>1260</v>
      </c>
      <c r="K47" s="10"/>
      <c r="L47" s="10">
        <v>0</v>
      </c>
      <c r="M47" s="10" t="s">
        <v>1261</v>
      </c>
      <c r="N47" s="10"/>
      <c r="O47" s="11"/>
      <c r="P47" s="10" t="s">
        <v>1262</v>
      </c>
      <c r="Q47" s="10"/>
      <c r="R47" s="10"/>
      <c r="S47" s="10"/>
      <c r="T47" s="11">
        <v>2000000</v>
      </c>
      <c r="U47" s="10" t="s">
        <v>982</v>
      </c>
      <c r="V47" s="10"/>
      <c r="W47" s="10"/>
      <c r="X47" s="10"/>
      <c r="Y47" s="10"/>
      <c r="Z47" s="10"/>
      <c r="AA47" s="10" t="s">
        <v>976</v>
      </c>
      <c r="AB47" s="10"/>
      <c r="AC47" s="10"/>
      <c r="AD47" s="11"/>
      <c r="AE47" s="10" t="s">
        <v>976</v>
      </c>
      <c r="AF47" s="10"/>
      <c r="AG47" s="10" t="s">
        <v>990</v>
      </c>
      <c r="AH47" s="10" t="s">
        <v>1300</v>
      </c>
      <c r="AI47" s="10" t="s">
        <v>976</v>
      </c>
      <c r="AJ47" s="10"/>
      <c r="AK47" s="10"/>
      <c r="AL47" s="10"/>
      <c r="AM47" s="10"/>
      <c r="AN47" s="10"/>
      <c r="AO47" s="10"/>
      <c r="AP47" s="10"/>
      <c r="AQ47" s="10"/>
      <c r="AR47" s="10"/>
      <c r="AS47" s="10"/>
      <c r="AT47" s="10"/>
      <c r="AU47" s="10"/>
      <c r="AV47" s="10"/>
      <c r="AW47" s="10"/>
      <c r="AX47" s="10"/>
      <c r="AY47" s="10"/>
      <c r="AZ47" s="10"/>
      <c r="BA47" s="10"/>
      <c r="BB47" s="10"/>
      <c r="BC47" s="10"/>
      <c r="BD47" s="10"/>
      <c r="BE47" s="10"/>
      <c r="BF47" s="11"/>
      <c r="BG47" s="10"/>
      <c r="BH47" s="10"/>
      <c r="BI47" s="10"/>
      <c r="BJ47" s="10"/>
      <c r="BK47" s="11"/>
      <c r="BL47" s="10"/>
      <c r="BM47" s="10"/>
      <c r="BN47" s="10"/>
      <c r="BO47" s="10"/>
      <c r="BP47" s="10"/>
      <c r="BQ47" s="10"/>
      <c r="BR47" s="10"/>
      <c r="BS47" s="10"/>
      <c r="BT47" s="10"/>
      <c r="BU47" s="10"/>
      <c r="BV47" s="10" t="s">
        <v>972</v>
      </c>
      <c r="BW47" s="10" t="s">
        <v>976</v>
      </c>
      <c r="BX47" s="10"/>
      <c r="BY47" s="10"/>
      <c r="BZ47" s="10" t="s">
        <v>977</v>
      </c>
      <c r="CA47" s="10"/>
      <c r="CB47" s="10" t="s">
        <v>972</v>
      </c>
      <c r="CC47" s="10">
        <v>1</v>
      </c>
      <c r="CD47" s="10" t="s">
        <v>1260</v>
      </c>
      <c r="CE47" s="10"/>
      <c r="CF47" s="10">
        <v>0</v>
      </c>
      <c r="CG47" s="10" t="s">
        <v>1156</v>
      </c>
      <c r="CH47" s="10" t="s">
        <v>1261</v>
      </c>
      <c r="CI47" s="10"/>
      <c r="CJ47" s="11"/>
      <c r="CK47" s="10">
        <v>5</v>
      </c>
      <c r="CL47" s="10"/>
      <c r="CM47" s="10"/>
      <c r="CN47" s="11">
        <v>500000</v>
      </c>
      <c r="CO47" s="10" t="s">
        <v>983</v>
      </c>
      <c r="CP47" s="10"/>
      <c r="CQ47" s="10"/>
      <c r="CR47" s="10"/>
      <c r="CS47" s="10"/>
      <c r="CT47" s="10"/>
      <c r="CU47" s="10" t="s">
        <v>976</v>
      </c>
      <c r="CV47" s="10"/>
      <c r="CW47" s="10" t="s">
        <v>1008</v>
      </c>
    </row>
    <row r="48" spans="1:101" ht="51" x14ac:dyDescent="0.2">
      <c r="A48" s="14" t="s">
        <v>964</v>
      </c>
      <c r="B48" s="15" t="s">
        <v>972</v>
      </c>
      <c r="C48" s="15" t="s">
        <v>972</v>
      </c>
      <c r="D48" s="15">
        <v>2</v>
      </c>
      <c r="E48" s="15" t="s">
        <v>976</v>
      </c>
      <c r="F48" s="15" t="s">
        <v>977</v>
      </c>
      <c r="G48" s="15"/>
      <c r="H48" s="15" t="s">
        <v>976</v>
      </c>
      <c r="I48" s="15"/>
      <c r="J48" s="15" t="s">
        <v>990</v>
      </c>
      <c r="K48" s="15" t="s">
        <v>1327</v>
      </c>
      <c r="L48" s="15">
        <v>0</v>
      </c>
      <c r="M48" s="15" t="s">
        <v>1040</v>
      </c>
      <c r="N48" s="15" t="s">
        <v>976</v>
      </c>
      <c r="O48" s="16">
        <v>1500000</v>
      </c>
      <c r="P48" s="15"/>
      <c r="Q48" s="15"/>
      <c r="R48" s="15"/>
      <c r="S48" s="15"/>
      <c r="T48" s="16">
        <v>1500000</v>
      </c>
      <c r="U48" s="15" t="s">
        <v>982</v>
      </c>
      <c r="V48" s="15"/>
      <c r="W48" s="15"/>
      <c r="X48" s="15"/>
      <c r="Y48" s="15"/>
      <c r="Z48" s="15"/>
      <c r="AA48" s="15" t="s">
        <v>976</v>
      </c>
      <c r="AB48" s="15"/>
      <c r="AC48" s="15"/>
      <c r="AD48" s="16">
        <v>1113322</v>
      </c>
      <c r="AE48" s="15" t="s">
        <v>976</v>
      </c>
      <c r="AF48" s="15"/>
      <c r="AG48" s="15" t="s">
        <v>990</v>
      </c>
      <c r="AH48" s="15" t="s">
        <v>1328</v>
      </c>
      <c r="AI48" s="15" t="s">
        <v>972</v>
      </c>
      <c r="AJ48" s="15" t="s">
        <v>973</v>
      </c>
      <c r="AK48" s="15"/>
      <c r="AL48" s="15"/>
      <c r="AM48" s="15"/>
      <c r="AN48" s="15"/>
      <c r="AO48" s="15" t="s">
        <v>976</v>
      </c>
      <c r="AP48" s="15"/>
      <c r="AQ48" s="15"/>
      <c r="AR48" s="15" t="s">
        <v>990</v>
      </c>
      <c r="AS48" s="15" t="s">
        <v>3563</v>
      </c>
      <c r="AT48" s="15" t="s">
        <v>976</v>
      </c>
      <c r="AU48" s="15"/>
      <c r="AV48" s="15" t="s">
        <v>1265</v>
      </c>
      <c r="AW48" s="15"/>
      <c r="AX48" s="15" t="s">
        <v>1283</v>
      </c>
      <c r="AY48" s="15"/>
      <c r="AZ48" s="15" t="s">
        <v>990</v>
      </c>
      <c r="BA48" s="15" t="s">
        <v>3564</v>
      </c>
      <c r="BB48" s="15">
        <v>0</v>
      </c>
      <c r="BC48" s="15"/>
      <c r="BD48" s="15"/>
      <c r="BE48" s="15"/>
      <c r="BF48" s="16"/>
      <c r="BG48" s="15"/>
      <c r="BH48" s="15"/>
      <c r="BI48" s="15"/>
      <c r="BJ48" s="15"/>
      <c r="BK48" s="16">
        <v>296886</v>
      </c>
      <c r="BL48" s="15" t="s">
        <v>982</v>
      </c>
      <c r="BM48" s="15"/>
      <c r="BN48" s="15"/>
      <c r="BO48" s="15"/>
      <c r="BP48" s="15"/>
      <c r="BQ48" s="15"/>
      <c r="BR48" s="15" t="s">
        <v>976</v>
      </c>
      <c r="BS48" s="15"/>
      <c r="BT48" s="15" t="s">
        <v>990</v>
      </c>
      <c r="BU48" s="15" t="s">
        <v>1329</v>
      </c>
      <c r="BV48" s="15" t="s">
        <v>972</v>
      </c>
      <c r="BW48" s="15" t="s">
        <v>976</v>
      </c>
      <c r="BX48" s="15"/>
      <c r="BY48" s="15"/>
      <c r="BZ48" s="15" t="s">
        <v>1330</v>
      </c>
      <c r="CA48" s="15" t="s">
        <v>3779</v>
      </c>
      <c r="CB48" s="15" t="s">
        <v>976</v>
      </c>
      <c r="CC48" s="15"/>
      <c r="CD48" s="15" t="s">
        <v>990</v>
      </c>
      <c r="CE48" s="15" t="s">
        <v>1331</v>
      </c>
      <c r="CF48" s="15">
        <v>0</v>
      </c>
      <c r="CG48" s="15" t="s">
        <v>1191</v>
      </c>
      <c r="CH48" s="15" t="s">
        <v>1040</v>
      </c>
      <c r="CI48" s="15" t="s">
        <v>976</v>
      </c>
      <c r="CJ48" s="16"/>
      <c r="CK48" s="15"/>
      <c r="CL48" s="15"/>
      <c r="CM48" s="15"/>
      <c r="CN48" s="16"/>
      <c r="CO48" s="15" t="s">
        <v>982</v>
      </c>
      <c r="CP48" s="15"/>
      <c r="CQ48" s="15"/>
      <c r="CR48" s="15"/>
      <c r="CS48" s="15"/>
      <c r="CT48" s="15"/>
      <c r="CU48" s="15" t="s">
        <v>976</v>
      </c>
      <c r="CV48" s="15"/>
      <c r="CW48" s="15" t="s">
        <v>1332</v>
      </c>
    </row>
    <row r="49" spans="1:101" x14ac:dyDescent="0.2">
      <c r="A49" s="6" t="s">
        <v>951</v>
      </c>
      <c r="B49" s="7" t="s">
        <v>972</v>
      </c>
      <c r="C49" s="7" t="s">
        <v>976</v>
      </c>
      <c r="F49" s="7" t="s">
        <v>977</v>
      </c>
      <c r="H49" s="7" t="s">
        <v>972</v>
      </c>
      <c r="I49" s="7">
        <v>0</v>
      </c>
      <c r="L49" s="7">
        <v>0</v>
      </c>
      <c r="M49" s="7" t="s">
        <v>1261</v>
      </c>
      <c r="P49" s="7" t="s">
        <v>1262</v>
      </c>
      <c r="U49" s="7" t="s">
        <v>982</v>
      </c>
      <c r="AA49" s="7" t="s">
        <v>976</v>
      </c>
      <c r="AE49" s="7" t="s">
        <v>976</v>
      </c>
      <c r="AG49" s="7" t="s">
        <v>1268</v>
      </c>
      <c r="AI49" s="7" t="s">
        <v>976</v>
      </c>
      <c r="BV49" s="7" t="s">
        <v>976</v>
      </c>
    </row>
    <row r="50" spans="1:101" ht="76.5" x14ac:dyDescent="0.2">
      <c r="A50" s="14" t="s">
        <v>954</v>
      </c>
      <c r="B50" s="15" t="s">
        <v>972</v>
      </c>
      <c r="C50" s="15" t="s">
        <v>976</v>
      </c>
      <c r="D50" s="15"/>
      <c r="E50" s="15"/>
      <c r="F50" s="15" t="s">
        <v>977</v>
      </c>
      <c r="G50" s="15"/>
      <c r="H50" s="15" t="s">
        <v>972</v>
      </c>
      <c r="I50" s="15">
        <v>20</v>
      </c>
      <c r="J50" s="15" t="s">
        <v>1296</v>
      </c>
      <c r="K50" s="15"/>
      <c r="L50" s="15">
        <v>0</v>
      </c>
      <c r="M50" s="15" t="s">
        <v>994</v>
      </c>
      <c r="N50" s="15"/>
      <c r="O50" s="16"/>
      <c r="P50" s="15"/>
      <c r="Q50" s="15"/>
      <c r="R50" s="15"/>
      <c r="S50" s="15" t="s">
        <v>1320</v>
      </c>
      <c r="T50" s="16"/>
      <c r="U50" s="15" t="s">
        <v>982</v>
      </c>
      <c r="V50" s="15"/>
      <c r="W50" s="15"/>
      <c r="X50" s="15"/>
      <c r="Y50" s="15"/>
      <c r="Z50" s="15"/>
      <c r="AA50" s="15" t="s">
        <v>972</v>
      </c>
      <c r="AB50" s="15" t="s">
        <v>978</v>
      </c>
      <c r="AC50" s="15"/>
      <c r="AD50" s="16"/>
      <c r="AE50" s="15" t="s">
        <v>976</v>
      </c>
      <c r="AF50" s="15"/>
      <c r="AG50" s="15" t="s">
        <v>990</v>
      </c>
      <c r="AH50" s="15" t="s">
        <v>1300</v>
      </c>
      <c r="AI50" s="15" t="s">
        <v>972</v>
      </c>
      <c r="AJ50" s="15" t="s">
        <v>1003</v>
      </c>
      <c r="AK50" s="15"/>
      <c r="AL50" s="15" t="s">
        <v>1312</v>
      </c>
      <c r="AM50" s="15"/>
      <c r="AN50" s="15"/>
      <c r="AO50" s="15" t="s">
        <v>976</v>
      </c>
      <c r="AP50" s="15"/>
      <c r="AQ50" s="15"/>
      <c r="AR50" s="15" t="s">
        <v>977</v>
      </c>
      <c r="AS50" s="15"/>
      <c r="AT50" s="15" t="s">
        <v>972</v>
      </c>
      <c r="AU50" s="15">
        <v>20</v>
      </c>
      <c r="AV50" s="15" t="s">
        <v>990</v>
      </c>
      <c r="AW50" s="15" t="s">
        <v>1321</v>
      </c>
      <c r="AX50" s="15" t="s">
        <v>990</v>
      </c>
      <c r="AY50" s="15" t="s">
        <v>1321</v>
      </c>
      <c r="AZ50" s="15" t="s">
        <v>1296</v>
      </c>
      <c r="BA50" s="15"/>
      <c r="BB50" s="15">
        <v>0</v>
      </c>
      <c r="BC50" s="15" t="s">
        <v>1156</v>
      </c>
      <c r="BD50" s="15" t="s">
        <v>1261</v>
      </c>
      <c r="BE50" s="15"/>
      <c r="BF50" s="16"/>
      <c r="BG50" s="15" t="s">
        <v>990</v>
      </c>
      <c r="BH50" s="15" t="s">
        <v>1322</v>
      </c>
      <c r="BI50" s="15"/>
      <c r="BJ50" s="15"/>
      <c r="BK50" s="16">
        <v>1000000</v>
      </c>
      <c r="BL50" s="15" t="s">
        <v>982</v>
      </c>
      <c r="BM50" s="15"/>
      <c r="BN50" s="15"/>
      <c r="BO50" s="15"/>
      <c r="BP50" s="15"/>
      <c r="BQ50" s="15"/>
      <c r="BR50" s="15" t="s">
        <v>976</v>
      </c>
      <c r="BS50" s="15"/>
      <c r="BT50" s="15" t="s">
        <v>990</v>
      </c>
      <c r="BU50" s="15" t="s">
        <v>1300</v>
      </c>
      <c r="BV50" s="15" t="s">
        <v>972</v>
      </c>
      <c r="BW50" s="15" t="s">
        <v>976</v>
      </c>
      <c r="BX50" s="15"/>
      <c r="BY50" s="15"/>
      <c r="BZ50" s="15" t="s">
        <v>977</v>
      </c>
      <c r="CA50" s="15"/>
      <c r="CB50" s="15" t="s">
        <v>972</v>
      </c>
      <c r="CC50" s="15">
        <v>20</v>
      </c>
      <c r="CD50" s="15" t="s">
        <v>1296</v>
      </c>
      <c r="CE50" s="15"/>
      <c r="CF50" s="15">
        <v>0</v>
      </c>
      <c r="CG50" s="15" t="s">
        <v>1156</v>
      </c>
      <c r="CH50" s="15" t="s">
        <v>994</v>
      </c>
      <c r="CI50" s="15"/>
      <c r="CJ50" s="16"/>
      <c r="CK50" s="15"/>
      <c r="CL50" s="15"/>
      <c r="CM50" s="15" t="s">
        <v>1323</v>
      </c>
      <c r="CN50" s="16"/>
      <c r="CO50" s="15" t="s">
        <v>982</v>
      </c>
      <c r="CP50" s="15"/>
      <c r="CQ50" s="15"/>
      <c r="CR50" s="15"/>
      <c r="CS50" s="15"/>
      <c r="CT50" s="15"/>
      <c r="CU50" s="15" t="s">
        <v>976</v>
      </c>
      <c r="CV50" s="15"/>
      <c r="CW50" s="15" t="s">
        <v>1300</v>
      </c>
    </row>
    <row r="51" spans="1:101" x14ac:dyDescent="0.2">
      <c r="A51" s="6" t="s">
        <v>944</v>
      </c>
      <c r="B51" s="7" t="s">
        <v>972</v>
      </c>
      <c r="C51" s="7" t="s">
        <v>976</v>
      </c>
      <c r="F51" s="7" t="s">
        <v>977</v>
      </c>
      <c r="H51" s="7" t="s">
        <v>972</v>
      </c>
      <c r="J51" s="7" t="s">
        <v>1260</v>
      </c>
      <c r="L51" s="7">
        <v>0</v>
      </c>
      <c r="M51" s="7" t="s">
        <v>1261</v>
      </c>
      <c r="P51" s="7" t="s">
        <v>1262</v>
      </c>
      <c r="U51" s="7" t="s">
        <v>982</v>
      </c>
      <c r="AA51" s="7" t="s">
        <v>976</v>
      </c>
      <c r="AE51" s="7" t="s">
        <v>976</v>
      </c>
      <c r="AG51" s="7" t="s">
        <v>1268</v>
      </c>
      <c r="AI51" s="7" t="s">
        <v>972</v>
      </c>
      <c r="AJ51" s="7" t="s">
        <v>1003</v>
      </c>
      <c r="AL51" s="7" t="s">
        <v>1312</v>
      </c>
      <c r="AO51" s="7" t="s">
        <v>976</v>
      </c>
      <c r="AR51" s="7" t="s">
        <v>977</v>
      </c>
      <c r="AT51" s="7" t="s">
        <v>972</v>
      </c>
      <c r="AV51" s="7" t="s">
        <v>1313</v>
      </c>
      <c r="AX51" s="7" t="s">
        <v>1283</v>
      </c>
      <c r="AZ51" s="7" t="s">
        <v>1260</v>
      </c>
      <c r="BB51" s="7">
        <v>0</v>
      </c>
      <c r="BC51" s="7" t="s">
        <v>1191</v>
      </c>
      <c r="BD51" s="7" t="s">
        <v>1261</v>
      </c>
      <c r="BG51" s="7" t="s">
        <v>1262</v>
      </c>
      <c r="BL51" s="7" t="s">
        <v>982</v>
      </c>
      <c r="BR51" s="7" t="s">
        <v>976</v>
      </c>
      <c r="BT51" s="7" t="s">
        <v>990</v>
      </c>
      <c r="BU51" s="7" t="s">
        <v>1268</v>
      </c>
      <c r="BV51" s="7" t="s">
        <v>976</v>
      </c>
    </row>
    <row r="52" spans="1:101" ht="38.25" x14ac:dyDescent="0.2">
      <c r="A52" s="14" t="s">
        <v>950</v>
      </c>
      <c r="B52" s="15" t="s">
        <v>972</v>
      </c>
      <c r="C52" s="15" t="s">
        <v>972</v>
      </c>
      <c r="D52" s="15">
        <v>4</v>
      </c>
      <c r="E52" s="15" t="s">
        <v>972</v>
      </c>
      <c r="F52" s="15" t="s">
        <v>977</v>
      </c>
      <c r="G52" s="15"/>
      <c r="H52" s="15" t="s">
        <v>972</v>
      </c>
      <c r="I52" s="15">
        <v>1</v>
      </c>
      <c r="J52" s="15" t="s">
        <v>1260</v>
      </c>
      <c r="K52" s="15"/>
      <c r="L52" s="15">
        <v>0</v>
      </c>
      <c r="M52" s="15" t="s">
        <v>1261</v>
      </c>
      <c r="N52" s="15"/>
      <c r="O52" s="16"/>
      <c r="P52" s="15" t="s">
        <v>1262</v>
      </c>
      <c r="Q52" s="15"/>
      <c r="R52" s="15"/>
      <c r="S52" s="15"/>
      <c r="T52" s="16"/>
      <c r="U52" s="15" t="s">
        <v>982</v>
      </c>
      <c r="V52" s="15"/>
      <c r="W52" s="15"/>
      <c r="X52" s="15"/>
      <c r="Y52" s="15"/>
      <c r="Z52" s="15"/>
      <c r="AA52" s="15" t="s">
        <v>972</v>
      </c>
      <c r="AB52" s="15" t="s">
        <v>1258</v>
      </c>
      <c r="AC52" s="15"/>
      <c r="AD52" s="16">
        <v>250000</v>
      </c>
      <c r="AE52" s="15" t="s">
        <v>976</v>
      </c>
      <c r="AF52" s="15"/>
      <c r="AG52" s="15" t="s">
        <v>1268</v>
      </c>
      <c r="AH52" s="15"/>
      <c r="AI52" s="15" t="s">
        <v>976</v>
      </c>
      <c r="AJ52" s="15"/>
      <c r="AK52" s="15"/>
      <c r="AL52" s="15"/>
      <c r="AM52" s="15"/>
      <c r="AN52" s="15"/>
      <c r="AO52" s="15"/>
      <c r="AP52" s="15"/>
      <c r="AQ52" s="15"/>
      <c r="AR52" s="15"/>
      <c r="AS52" s="15"/>
      <c r="AT52" s="15"/>
      <c r="AU52" s="15"/>
      <c r="AV52" s="15"/>
      <c r="AW52" s="15"/>
      <c r="AX52" s="15"/>
      <c r="AY52" s="15"/>
      <c r="AZ52" s="15"/>
      <c r="BA52" s="15"/>
      <c r="BB52" s="15"/>
      <c r="BC52" s="15"/>
      <c r="BD52" s="15"/>
      <c r="BE52" s="15"/>
      <c r="BF52" s="16"/>
      <c r="BG52" s="15"/>
      <c r="BH52" s="15"/>
      <c r="BI52" s="15"/>
      <c r="BJ52" s="15"/>
      <c r="BK52" s="16"/>
      <c r="BL52" s="15"/>
      <c r="BM52" s="15"/>
      <c r="BN52" s="15"/>
      <c r="BO52" s="15"/>
      <c r="BP52" s="15"/>
      <c r="BQ52" s="15"/>
      <c r="BR52" s="15"/>
      <c r="BS52" s="15"/>
      <c r="BT52" s="15"/>
      <c r="BU52" s="15"/>
      <c r="BV52" s="15" t="s">
        <v>972</v>
      </c>
      <c r="BW52" s="15" t="s">
        <v>972</v>
      </c>
      <c r="BX52" s="15">
        <v>10</v>
      </c>
      <c r="BY52" s="15" t="s">
        <v>972</v>
      </c>
      <c r="BZ52" s="15" t="s">
        <v>977</v>
      </c>
      <c r="CA52" s="15"/>
      <c r="CB52" s="15" t="s">
        <v>972</v>
      </c>
      <c r="CC52" s="15">
        <v>1</v>
      </c>
      <c r="CD52" s="15" t="s">
        <v>990</v>
      </c>
      <c r="CE52" s="15" t="s">
        <v>1317</v>
      </c>
      <c r="CF52" s="15">
        <v>0</v>
      </c>
      <c r="CG52" s="15" t="s">
        <v>1156</v>
      </c>
      <c r="CH52" s="15" t="s">
        <v>1040</v>
      </c>
      <c r="CI52" s="15" t="s">
        <v>976</v>
      </c>
      <c r="CJ52" s="16"/>
      <c r="CK52" s="15"/>
      <c r="CL52" s="15"/>
      <c r="CM52" s="15"/>
      <c r="CN52" s="16">
        <v>250000</v>
      </c>
      <c r="CO52" s="15" t="s">
        <v>983</v>
      </c>
      <c r="CP52" s="15"/>
      <c r="CQ52" s="15"/>
      <c r="CR52" s="15"/>
      <c r="CS52" s="15"/>
      <c r="CT52" s="15"/>
      <c r="CU52" s="15" t="s">
        <v>976</v>
      </c>
      <c r="CV52" s="15"/>
      <c r="CW52" s="15" t="s">
        <v>1268</v>
      </c>
    </row>
    <row r="53" spans="1:101" s="14" customFormat="1" x14ac:dyDescent="0.2">
      <c r="A53" s="14" t="s">
        <v>940</v>
      </c>
      <c r="B53" s="15" t="s">
        <v>972</v>
      </c>
      <c r="C53" s="15" t="s">
        <v>976</v>
      </c>
      <c r="D53" s="15"/>
      <c r="E53" s="15"/>
      <c r="F53" s="15" t="s">
        <v>977</v>
      </c>
      <c r="G53" s="15"/>
      <c r="H53" s="15" t="s">
        <v>972</v>
      </c>
      <c r="I53" s="15">
        <v>20</v>
      </c>
      <c r="J53" s="15" t="s">
        <v>1260</v>
      </c>
      <c r="K53" s="15"/>
      <c r="L53" s="15">
        <v>0</v>
      </c>
      <c r="M53" s="15" t="s">
        <v>1261</v>
      </c>
      <c r="N53" s="15"/>
      <c r="O53" s="16"/>
      <c r="P53" s="15" t="s">
        <v>1262</v>
      </c>
      <c r="Q53" s="15"/>
      <c r="R53" s="15"/>
      <c r="S53" s="15"/>
      <c r="T53" s="16"/>
      <c r="U53" s="15" t="s">
        <v>982</v>
      </c>
      <c r="V53" s="15"/>
      <c r="W53" s="15"/>
      <c r="X53" s="15"/>
      <c r="Y53" s="15"/>
      <c r="Z53" s="15"/>
      <c r="AA53" s="15" t="s">
        <v>976</v>
      </c>
      <c r="AB53" s="15"/>
      <c r="AC53" s="15"/>
      <c r="AD53" s="16"/>
      <c r="AE53" s="15" t="s">
        <v>976</v>
      </c>
      <c r="AF53" s="15"/>
      <c r="AG53" s="15" t="s">
        <v>1268</v>
      </c>
      <c r="AH53" s="15"/>
      <c r="AI53" s="15" t="s">
        <v>976</v>
      </c>
      <c r="AJ53" s="15"/>
      <c r="AK53" s="15"/>
      <c r="AL53" s="15"/>
      <c r="AM53" s="15"/>
      <c r="AN53" s="15"/>
      <c r="AO53" s="15"/>
      <c r="AP53" s="15"/>
      <c r="AQ53" s="15"/>
      <c r="AR53" s="15"/>
      <c r="AS53" s="15"/>
      <c r="AT53" s="15"/>
      <c r="AU53" s="15"/>
      <c r="AV53" s="15"/>
      <c r="AW53" s="15"/>
      <c r="AX53" s="15"/>
      <c r="AY53" s="15"/>
      <c r="AZ53" s="15"/>
      <c r="BA53" s="15"/>
      <c r="BB53" s="15"/>
      <c r="BC53" s="15"/>
      <c r="BD53" s="15"/>
      <c r="BE53" s="15"/>
      <c r="BF53" s="16"/>
      <c r="BG53" s="15"/>
      <c r="BH53" s="15"/>
      <c r="BI53" s="15"/>
      <c r="BJ53" s="15"/>
      <c r="BK53" s="16"/>
      <c r="BL53" s="15"/>
      <c r="BM53" s="15"/>
      <c r="BN53" s="15"/>
      <c r="BO53" s="15"/>
      <c r="BP53" s="15"/>
      <c r="BQ53" s="15"/>
      <c r="BR53" s="15"/>
      <c r="BS53" s="15"/>
      <c r="BT53" s="15"/>
      <c r="BU53" s="15"/>
      <c r="BV53" s="15" t="s">
        <v>976</v>
      </c>
      <c r="BW53" s="15"/>
      <c r="BX53" s="15"/>
      <c r="BY53" s="15"/>
      <c r="BZ53" s="15"/>
      <c r="CA53" s="15"/>
      <c r="CB53" s="15"/>
      <c r="CC53" s="15"/>
      <c r="CD53" s="15"/>
      <c r="CE53" s="15"/>
      <c r="CF53" s="15"/>
      <c r="CG53" s="15"/>
      <c r="CH53" s="15"/>
      <c r="CI53" s="15"/>
      <c r="CJ53" s="16"/>
      <c r="CK53" s="15"/>
      <c r="CL53" s="15"/>
      <c r="CM53" s="15"/>
      <c r="CN53" s="16"/>
      <c r="CO53" s="15"/>
      <c r="CP53" s="15"/>
      <c r="CQ53" s="15"/>
      <c r="CR53" s="15"/>
      <c r="CS53" s="15"/>
      <c r="CT53" s="15"/>
      <c r="CU53" s="15"/>
      <c r="CV53" s="15"/>
      <c r="CW53" s="15"/>
    </row>
    <row r="54" spans="1:101" x14ac:dyDescent="0.2">
      <c r="A54" s="6" t="s">
        <v>960</v>
      </c>
      <c r="B54" s="7" t="s">
        <v>972</v>
      </c>
      <c r="C54" s="7" t="s">
        <v>972</v>
      </c>
      <c r="D54" s="7">
        <v>3</v>
      </c>
      <c r="E54" s="7" t="s">
        <v>972</v>
      </c>
      <c r="F54" s="7" t="s">
        <v>977</v>
      </c>
      <c r="H54" s="7" t="s">
        <v>972</v>
      </c>
      <c r="J54" s="7" t="s">
        <v>1326</v>
      </c>
      <c r="M54" s="7" t="s">
        <v>1261</v>
      </c>
      <c r="P54" s="7" t="s">
        <v>1277</v>
      </c>
      <c r="U54" s="7" t="s">
        <v>982</v>
      </c>
      <c r="AA54" s="7" t="s">
        <v>976</v>
      </c>
      <c r="AE54" s="7" t="s">
        <v>976</v>
      </c>
      <c r="AG54" s="7" t="s">
        <v>990</v>
      </c>
      <c r="AH54" s="7" t="s">
        <v>1275</v>
      </c>
      <c r="AI54" s="7" t="s">
        <v>972</v>
      </c>
      <c r="AJ54" s="7" t="s">
        <v>1003</v>
      </c>
      <c r="AL54" s="7" t="s">
        <v>1166</v>
      </c>
      <c r="AO54" s="7" t="s">
        <v>976</v>
      </c>
      <c r="AR54" s="7" t="s">
        <v>977</v>
      </c>
      <c r="AT54" s="7" t="s">
        <v>972</v>
      </c>
      <c r="AV54" s="7" t="s">
        <v>1276</v>
      </c>
      <c r="AX54" s="7" t="s">
        <v>1283</v>
      </c>
      <c r="AZ54" s="7" t="s">
        <v>1326</v>
      </c>
      <c r="BC54" s="7" t="s">
        <v>1191</v>
      </c>
      <c r="BD54" s="7" t="s">
        <v>1284</v>
      </c>
      <c r="BL54" s="7" t="s">
        <v>982</v>
      </c>
      <c r="BR54" s="7" t="s">
        <v>976</v>
      </c>
      <c r="BT54" s="7" t="s">
        <v>990</v>
      </c>
      <c r="BU54" s="7" t="s">
        <v>1282</v>
      </c>
      <c r="BV54" s="7" t="s">
        <v>972</v>
      </c>
      <c r="BW54" s="7" t="s">
        <v>972</v>
      </c>
      <c r="BX54" s="7">
        <v>5</v>
      </c>
      <c r="BY54" s="7" t="s">
        <v>972</v>
      </c>
      <c r="BZ54" s="7" t="s">
        <v>977</v>
      </c>
      <c r="CB54" s="7" t="s">
        <v>972</v>
      </c>
      <c r="CD54" s="7" t="s">
        <v>1326</v>
      </c>
      <c r="CG54" s="7" t="s">
        <v>1156</v>
      </c>
      <c r="CH54" s="7" t="s">
        <v>1284</v>
      </c>
      <c r="CO54" s="7" t="s">
        <v>982</v>
      </c>
      <c r="CU54" s="7" t="s">
        <v>976</v>
      </c>
      <c r="CW54" s="7" t="s">
        <v>1275</v>
      </c>
    </row>
    <row r="55" spans="1:101" x14ac:dyDescent="0.2">
      <c r="A55" s="6" t="s">
        <v>916</v>
      </c>
      <c r="B55" s="7" t="s">
        <v>972</v>
      </c>
      <c r="C55" s="7" t="s">
        <v>976</v>
      </c>
      <c r="F55" s="7" t="s">
        <v>977</v>
      </c>
      <c r="H55" s="7" t="s">
        <v>972</v>
      </c>
      <c r="I55" s="7">
        <v>0</v>
      </c>
      <c r="J55" s="7" t="s">
        <v>1269</v>
      </c>
      <c r="L55" s="7">
        <v>0</v>
      </c>
      <c r="M55" s="7" t="s">
        <v>1261</v>
      </c>
      <c r="P55" s="7" t="s">
        <v>1262</v>
      </c>
      <c r="U55" s="7" t="s">
        <v>982</v>
      </c>
      <c r="AE55" s="7" t="s">
        <v>976</v>
      </c>
      <c r="AG55" s="7" t="s">
        <v>990</v>
      </c>
      <c r="AH55" s="7" t="s">
        <v>1275</v>
      </c>
      <c r="AI55" s="7" t="s">
        <v>972</v>
      </c>
      <c r="AJ55" s="7" t="s">
        <v>973</v>
      </c>
      <c r="AO55" s="7" t="s">
        <v>976</v>
      </c>
      <c r="AR55" s="7" t="s">
        <v>977</v>
      </c>
      <c r="AT55" s="7" t="s">
        <v>972</v>
      </c>
      <c r="AU55" s="7">
        <v>0</v>
      </c>
      <c r="AV55" s="7" t="s">
        <v>1276</v>
      </c>
      <c r="AZ55" s="7" t="s">
        <v>1269</v>
      </c>
      <c r="BB55" s="7">
        <v>0</v>
      </c>
      <c r="BC55" s="7" t="s">
        <v>1191</v>
      </c>
      <c r="BD55" s="7" t="s">
        <v>1261</v>
      </c>
      <c r="BG55" s="7" t="s">
        <v>1277</v>
      </c>
      <c r="BL55" s="7" t="s">
        <v>982</v>
      </c>
      <c r="BR55" s="7" t="s">
        <v>976</v>
      </c>
      <c r="BT55" s="7" t="s">
        <v>1278</v>
      </c>
      <c r="BV55" s="7" t="s">
        <v>976</v>
      </c>
    </row>
    <row r="56" spans="1:101" s="14" customFormat="1" x14ac:dyDescent="0.2">
      <c r="A56" s="14" t="s">
        <v>946</v>
      </c>
      <c r="B56" s="15" t="s">
        <v>972</v>
      </c>
      <c r="C56" s="15" t="s">
        <v>976</v>
      </c>
      <c r="D56" s="15"/>
      <c r="E56" s="15"/>
      <c r="F56" s="15" t="s">
        <v>977</v>
      </c>
      <c r="G56" s="15"/>
      <c r="H56" s="15" t="s">
        <v>972</v>
      </c>
      <c r="I56" s="15">
        <v>0</v>
      </c>
      <c r="J56" s="15" t="s">
        <v>1260</v>
      </c>
      <c r="K56" s="15"/>
      <c r="L56" s="15">
        <v>0</v>
      </c>
      <c r="M56" s="15" t="s">
        <v>1261</v>
      </c>
      <c r="N56" s="15"/>
      <c r="O56" s="16"/>
      <c r="P56" s="15" t="s">
        <v>1262</v>
      </c>
      <c r="Q56" s="15"/>
      <c r="R56" s="15"/>
      <c r="S56" s="15"/>
      <c r="T56" s="16"/>
      <c r="U56" s="15" t="s">
        <v>982</v>
      </c>
      <c r="V56" s="15"/>
      <c r="W56" s="15"/>
      <c r="X56" s="15"/>
      <c r="Y56" s="15"/>
      <c r="Z56" s="15"/>
      <c r="AA56" s="15" t="s">
        <v>976</v>
      </c>
      <c r="AB56" s="15"/>
      <c r="AC56" s="15"/>
      <c r="AD56" s="16"/>
      <c r="AE56" s="15" t="s">
        <v>976</v>
      </c>
      <c r="AF56" s="15"/>
      <c r="AG56" s="15" t="s">
        <v>990</v>
      </c>
      <c r="AH56" s="15" t="s">
        <v>1168</v>
      </c>
      <c r="AI56" s="15" t="s">
        <v>976</v>
      </c>
      <c r="AJ56" s="15"/>
      <c r="AK56" s="15"/>
      <c r="AL56" s="15"/>
      <c r="AM56" s="15"/>
      <c r="AN56" s="15"/>
      <c r="AO56" s="15"/>
      <c r="AP56" s="15"/>
      <c r="AQ56" s="15"/>
      <c r="AR56" s="15"/>
      <c r="AS56" s="15"/>
      <c r="AT56" s="15"/>
      <c r="AU56" s="15"/>
      <c r="AV56" s="15"/>
      <c r="AW56" s="15"/>
      <c r="AX56" s="15"/>
      <c r="AY56" s="15"/>
      <c r="AZ56" s="15"/>
      <c r="BA56" s="15"/>
      <c r="BB56" s="15"/>
      <c r="BC56" s="15"/>
      <c r="BD56" s="15"/>
      <c r="BE56" s="15"/>
      <c r="BF56" s="16"/>
      <c r="BG56" s="15"/>
      <c r="BH56" s="15"/>
      <c r="BI56" s="15"/>
      <c r="BJ56" s="15"/>
      <c r="BK56" s="16"/>
      <c r="BL56" s="15"/>
      <c r="BM56" s="15"/>
      <c r="BN56" s="15"/>
      <c r="BO56" s="15"/>
      <c r="BP56" s="15"/>
      <c r="BQ56" s="15"/>
      <c r="BR56" s="15"/>
      <c r="BS56" s="15"/>
      <c r="BT56" s="15"/>
      <c r="BU56" s="15"/>
      <c r="BV56" s="15" t="s">
        <v>972</v>
      </c>
      <c r="BW56" s="15" t="s">
        <v>976</v>
      </c>
      <c r="BX56" s="15"/>
      <c r="BY56" s="15"/>
      <c r="BZ56" s="15" t="s">
        <v>977</v>
      </c>
      <c r="CA56" s="15"/>
      <c r="CB56" s="15" t="s">
        <v>972</v>
      </c>
      <c r="CC56" s="15">
        <v>0</v>
      </c>
      <c r="CD56" s="15" t="s">
        <v>1260</v>
      </c>
      <c r="CE56" s="15"/>
      <c r="CF56" s="15">
        <v>0</v>
      </c>
      <c r="CG56" s="15" t="s">
        <v>1156</v>
      </c>
      <c r="CH56" s="15" t="s">
        <v>1261</v>
      </c>
      <c r="CI56" s="15"/>
      <c r="CJ56" s="16"/>
      <c r="CK56" s="15">
        <v>4</v>
      </c>
      <c r="CL56" s="15"/>
      <c r="CM56" s="15"/>
      <c r="CN56" s="16"/>
      <c r="CO56" s="15" t="s">
        <v>982</v>
      </c>
      <c r="CP56" s="15"/>
      <c r="CQ56" s="15"/>
      <c r="CR56" s="15"/>
      <c r="CS56" s="15"/>
      <c r="CT56" s="15"/>
      <c r="CU56" s="15" t="s">
        <v>976</v>
      </c>
      <c r="CV56" s="15"/>
      <c r="CW56" s="15" t="s">
        <v>1168</v>
      </c>
    </row>
    <row r="57" spans="1:101" s="14" customFormat="1" ht="76.5" x14ac:dyDescent="0.2">
      <c r="A57" s="6" t="s">
        <v>919</v>
      </c>
      <c r="B57" s="7" t="s">
        <v>972</v>
      </c>
      <c r="C57" s="7" t="s">
        <v>972</v>
      </c>
      <c r="D57" s="7">
        <v>11</v>
      </c>
      <c r="E57" s="7" t="s">
        <v>972</v>
      </c>
      <c r="F57" s="7" t="s">
        <v>977</v>
      </c>
      <c r="G57" s="7"/>
      <c r="H57" s="7" t="s">
        <v>972</v>
      </c>
      <c r="I57" s="7">
        <v>15</v>
      </c>
      <c r="J57" s="7" t="s">
        <v>1285</v>
      </c>
      <c r="K57" s="7" t="s">
        <v>1286</v>
      </c>
      <c r="L57" s="7">
        <v>30</v>
      </c>
      <c r="M57" s="7" t="s">
        <v>1261</v>
      </c>
      <c r="N57" s="7"/>
      <c r="O57" s="8"/>
      <c r="P57" s="7" t="s">
        <v>1262</v>
      </c>
      <c r="Q57" s="7"/>
      <c r="R57" s="7"/>
      <c r="S57" s="7"/>
      <c r="T57" s="8"/>
      <c r="U57" s="7" t="s">
        <v>993</v>
      </c>
      <c r="V57" s="7" t="s">
        <v>994</v>
      </c>
      <c r="W57" s="7"/>
      <c r="X57" s="7"/>
      <c r="Y57" s="7"/>
      <c r="Z57" s="7" t="s">
        <v>1287</v>
      </c>
      <c r="AA57" s="7" t="s">
        <v>976</v>
      </c>
      <c r="AB57" s="7"/>
      <c r="AC57" s="7"/>
      <c r="AD57" s="8"/>
      <c r="AE57" s="7" t="s">
        <v>976</v>
      </c>
      <c r="AF57" s="7"/>
      <c r="AG57" s="7" t="s">
        <v>1263</v>
      </c>
      <c r="AH57" s="7"/>
      <c r="AI57" s="7" t="s">
        <v>972</v>
      </c>
      <c r="AJ57" s="7" t="s">
        <v>1003</v>
      </c>
      <c r="AK57" s="7"/>
      <c r="AL57" s="7" t="s">
        <v>1166</v>
      </c>
      <c r="AM57" s="7"/>
      <c r="AN57" s="7"/>
      <c r="AO57" s="7" t="s">
        <v>972</v>
      </c>
      <c r="AP57" s="7">
        <v>3</v>
      </c>
      <c r="AQ57" s="7" t="s">
        <v>972</v>
      </c>
      <c r="AR57" s="7" t="s">
        <v>977</v>
      </c>
      <c r="AS57" s="7"/>
      <c r="AT57" s="7" t="s">
        <v>972</v>
      </c>
      <c r="AU57" s="7">
        <v>15</v>
      </c>
      <c r="AV57" s="7" t="s">
        <v>1265</v>
      </c>
      <c r="AW57" s="7"/>
      <c r="AX57" s="7"/>
      <c r="AY57" s="7"/>
      <c r="AZ57" s="7" t="s">
        <v>990</v>
      </c>
      <c r="BA57" s="7" t="s">
        <v>1288</v>
      </c>
      <c r="BB57" s="7">
        <v>30</v>
      </c>
      <c r="BC57" s="7" t="s">
        <v>1156</v>
      </c>
      <c r="BD57" s="7" t="s">
        <v>994</v>
      </c>
      <c r="BE57" s="7"/>
      <c r="BF57" s="8"/>
      <c r="BG57" s="7"/>
      <c r="BH57" s="7"/>
      <c r="BI57" s="7"/>
      <c r="BJ57" s="7" t="s">
        <v>1289</v>
      </c>
      <c r="BK57" s="8">
        <v>500000</v>
      </c>
      <c r="BL57" s="7" t="s">
        <v>983</v>
      </c>
      <c r="BM57" s="7"/>
      <c r="BN57" s="7"/>
      <c r="BO57" s="7"/>
      <c r="BP57" s="7"/>
      <c r="BQ57" s="7"/>
      <c r="BR57" s="7" t="s">
        <v>976</v>
      </c>
      <c r="BS57" s="7"/>
      <c r="BT57" s="7" t="s">
        <v>990</v>
      </c>
      <c r="BU57" s="7" t="s">
        <v>1274</v>
      </c>
      <c r="BV57" s="7" t="s">
        <v>972</v>
      </c>
      <c r="BW57" s="7" t="s">
        <v>972</v>
      </c>
      <c r="BX57" s="7">
        <v>2</v>
      </c>
      <c r="BY57" s="7" t="s">
        <v>972</v>
      </c>
      <c r="BZ57" s="7" t="s">
        <v>977</v>
      </c>
      <c r="CA57" s="7"/>
      <c r="CB57" s="7" t="s">
        <v>972</v>
      </c>
      <c r="CC57" s="7">
        <v>15</v>
      </c>
      <c r="CD57" s="7" t="s">
        <v>990</v>
      </c>
      <c r="CE57" s="7" t="s">
        <v>1290</v>
      </c>
      <c r="CF57" s="7">
        <v>30</v>
      </c>
      <c r="CG57" s="7" t="s">
        <v>1156</v>
      </c>
      <c r="CH57" s="7" t="s">
        <v>994</v>
      </c>
      <c r="CI57" s="7"/>
      <c r="CJ57" s="8"/>
      <c r="CK57" s="7"/>
      <c r="CL57" s="7"/>
      <c r="CM57" s="7" t="s">
        <v>1291</v>
      </c>
      <c r="CN57" s="8">
        <v>500000</v>
      </c>
      <c r="CO57" s="7" t="s">
        <v>983</v>
      </c>
      <c r="CP57" s="7"/>
      <c r="CQ57" s="7"/>
      <c r="CR57" s="7"/>
      <c r="CS57" s="7"/>
      <c r="CT57" s="7"/>
      <c r="CU57" s="7" t="s">
        <v>976</v>
      </c>
      <c r="CV57" s="7"/>
      <c r="CW57" s="7" t="s">
        <v>1008</v>
      </c>
    </row>
    <row r="58" spans="1:101" s="14" customFormat="1" ht="38.25" x14ac:dyDescent="0.2">
      <c r="A58" s="6" t="s">
        <v>929</v>
      </c>
      <c r="B58" s="7" t="s">
        <v>972</v>
      </c>
      <c r="C58" s="7" t="s">
        <v>976</v>
      </c>
      <c r="D58" s="7"/>
      <c r="E58" s="7"/>
      <c r="F58" s="7" t="s">
        <v>977</v>
      </c>
      <c r="G58" s="7"/>
      <c r="H58" s="7" t="s">
        <v>972</v>
      </c>
      <c r="I58" s="7">
        <v>0</v>
      </c>
      <c r="J58" s="7" t="s">
        <v>1260</v>
      </c>
      <c r="K58" s="7"/>
      <c r="L58" s="7">
        <v>0</v>
      </c>
      <c r="M58" s="7" t="s">
        <v>1261</v>
      </c>
      <c r="N58" s="7"/>
      <c r="O58" s="8"/>
      <c r="P58" s="7" t="s">
        <v>1262</v>
      </c>
      <c r="Q58" s="7"/>
      <c r="R58" s="7"/>
      <c r="S58" s="7"/>
      <c r="T58" s="8"/>
      <c r="U58" s="7" t="s">
        <v>982</v>
      </c>
      <c r="V58" s="7"/>
      <c r="W58" s="7"/>
      <c r="X58" s="7"/>
      <c r="Y58" s="7"/>
      <c r="Z58" s="7"/>
      <c r="AA58" s="7" t="s">
        <v>976</v>
      </c>
      <c r="AB58" s="7"/>
      <c r="AC58" s="7"/>
      <c r="AD58" s="8"/>
      <c r="AE58" s="7" t="s">
        <v>976</v>
      </c>
      <c r="AF58" s="7"/>
      <c r="AG58" s="7" t="s">
        <v>1268</v>
      </c>
      <c r="AH58" s="7"/>
      <c r="AI58" s="7" t="s">
        <v>972</v>
      </c>
      <c r="AJ58" s="7" t="s">
        <v>990</v>
      </c>
      <c r="AK58" s="7" t="s">
        <v>1303</v>
      </c>
      <c r="AL58" s="7"/>
      <c r="AM58" s="7"/>
      <c r="AN58" s="7"/>
      <c r="AO58" s="7" t="s">
        <v>976</v>
      </c>
      <c r="AP58" s="7"/>
      <c r="AQ58" s="7"/>
      <c r="AR58" s="7" t="s">
        <v>977</v>
      </c>
      <c r="AS58" s="7"/>
      <c r="AT58" s="7" t="s">
        <v>972</v>
      </c>
      <c r="AU58" s="7">
        <v>0</v>
      </c>
      <c r="AV58" s="7" t="s">
        <v>1276</v>
      </c>
      <c r="AW58" s="7"/>
      <c r="AX58" s="7" t="s">
        <v>1272</v>
      </c>
      <c r="AY58" s="7"/>
      <c r="AZ58" s="7" t="s">
        <v>1260</v>
      </c>
      <c r="BA58" s="7"/>
      <c r="BB58" s="7">
        <v>0</v>
      </c>
      <c r="BC58" s="7" t="s">
        <v>1156</v>
      </c>
      <c r="BD58" s="7" t="s">
        <v>1261</v>
      </c>
      <c r="BE58" s="7"/>
      <c r="BF58" s="8"/>
      <c r="BG58" s="7" t="s">
        <v>1277</v>
      </c>
      <c r="BH58" s="7"/>
      <c r="BI58" s="7"/>
      <c r="BJ58" s="7"/>
      <c r="BK58" s="8"/>
      <c r="BL58" s="7" t="s">
        <v>982</v>
      </c>
      <c r="BM58" s="7"/>
      <c r="BN58" s="7"/>
      <c r="BO58" s="7"/>
      <c r="BP58" s="7"/>
      <c r="BQ58" s="7"/>
      <c r="BR58" s="7" t="s">
        <v>976</v>
      </c>
      <c r="BS58" s="7"/>
      <c r="BT58" s="7" t="s">
        <v>990</v>
      </c>
      <c r="BU58" s="7" t="s">
        <v>1303</v>
      </c>
      <c r="BV58" s="7" t="s">
        <v>976</v>
      </c>
      <c r="BW58" s="7"/>
      <c r="BX58" s="7"/>
      <c r="BY58" s="7"/>
      <c r="BZ58" s="7"/>
      <c r="CA58" s="7"/>
      <c r="CB58" s="7"/>
      <c r="CC58" s="7"/>
      <c r="CD58" s="7"/>
      <c r="CE58" s="7"/>
      <c r="CF58" s="7"/>
      <c r="CG58" s="7"/>
      <c r="CH58" s="7"/>
      <c r="CI58" s="7"/>
      <c r="CJ58" s="8"/>
      <c r="CK58" s="7"/>
      <c r="CL58" s="7"/>
      <c r="CM58" s="7"/>
      <c r="CN58" s="8"/>
      <c r="CO58" s="7"/>
      <c r="CP58" s="7"/>
      <c r="CQ58" s="7"/>
      <c r="CR58" s="7"/>
      <c r="CS58" s="7"/>
      <c r="CT58" s="7"/>
      <c r="CU58" s="7"/>
      <c r="CV58" s="7"/>
      <c r="CW58" s="7"/>
    </row>
    <row r="59" spans="1:101" s="12" customFormat="1" x14ac:dyDescent="0.2">
      <c r="A59" s="6" t="s">
        <v>943</v>
      </c>
      <c r="B59" s="7" t="s">
        <v>972</v>
      </c>
      <c r="C59" s="7" t="s">
        <v>976</v>
      </c>
      <c r="D59" s="7"/>
      <c r="E59" s="7"/>
      <c r="F59" s="7" t="s">
        <v>977</v>
      </c>
      <c r="G59" s="7"/>
      <c r="H59" s="7" t="s">
        <v>972</v>
      </c>
      <c r="I59" s="7">
        <v>0</v>
      </c>
      <c r="J59" s="7" t="s">
        <v>1260</v>
      </c>
      <c r="K59" s="7"/>
      <c r="L59" s="7">
        <v>0</v>
      </c>
      <c r="M59" s="7" t="s">
        <v>1261</v>
      </c>
      <c r="N59" s="7"/>
      <c r="O59" s="8"/>
      <c r="P59" s="7" t="s">
        <v>1262</v>
      </c>
      <c r="Q59" s="7"/>
      <c r="R59" s="7"/>
      <c r="S59" s="7"/>
      <c r="T59" s="8">
        <v>1800000</v>
      </c>
      <c r="U59" s="7" t="s">
        <v>982</v>
      </c>
      <c r="V59" s="7"/>
      <c r="W59" s="7"/>
      <c r="X59" s="7"/>
      <c r="Y59" s="7"/>
      <c r="Z59" s="7"/>
      <c r="AA59" s="7" t="s">
        <v>976</v>
      </c>
      <c r="AB59" s="7"/>
      <c r="AC59" s="7"/>
      <c r="AD59" s="8"/>
      <c r="AE59" s="7" t="s">
        <v>976</v>
      </c>
      <c r="AF59" s="7"/>
      <c r="AG59" s="7" t="s">
        <v>1282</v>
      </c>
      <c r="AH59" s="7"/>
      <c r="AI59" s="7" t="s">
        <v>976</v>
      </c>
      <c r="AJ59" s="7"/>
      <c r="AK59" s="7"/>
      <c r="AL59" s="7"/>
      <c r="AM59" s="7"/>
      <c r="AN59" s="7"/>
      <c r="AO59" s="7"/>
      <c r="AP59" s="7"/>
      <c r="AQ59" s="7"/>
      <c r="AR59" s="7"/>
      <c r="AS59" s="7"/>
      <c r="AT59" s="7"/>
      <c r="AU59" s="7"/>
      <c r="AV59" s="7"/>
      <c r="AW59" s="7"/>
      <c r="AX59" s="7"/>
      <c r="AY59" s="7"/>
      <c r="AZ59" s="7"/>
      <c r="BA59" s="7"/>
      <c r="BB59" s="7"/>
      <c r="BC59" s="7"/>
      <c r="BD59" s="7"/>
      <c r="BE59" s="7"/>
      <c r="BF59" s="8"/>
      <c r="BG59" s="7"/>
      <c r="BH59" s="7"/>
      <c r="BI59" s="7"/>
      <c r="BJ59" s="7"/>
      <c r="BK59" s="8"/>
      <c r="BL59" s="7"/>
      <c r="BM59" s="7"/>
      <c r="BN59" s="7"/>
      <c r="BO59" s="7"/>
      <c r="BP59" s="7"/>
      <c r="BQ59" s="7"/>
      <c r="BR59" s="7"/>
      <c r="BS59" s="7"/>
      <c r="BT59" s="7"/>
      <c r="BU59" s="7"/>
      <c r="BV59" s="7" t="s">
        <v>976</v>
      </c>
      <c r="BW59" s="7"/>
      <c r="BX59" s="7"/>
      <c r="BY59" s="7"/>
      <c r="BZ59" s="7"/>
      <c r="CA59" s="7"/>
      <c r="CB59" s="7"/>
      <c r="CC59" s="7"/>
      <c r="CD59" s="7"/>
      <c r="CE59" s="7"/>
      <c r="CF59" s="7"/>
      <c r="CG59" s="7"/>
      <c r="CH59" s="7"/>
      <c r="CI59" s="7"/>
      <c r="CJ59" s="8"/>
      <c r="CK59" s="7"/>
      <c r="CL59" s="7"/>
      <c r="CM59" s="7"/>
      <c r="CN59" s="8"/>
      <c r="CO59" s="7"/>
      <c r="CP59" s="7"/>
      <c r="CQ59" s="7"/>
      <c r="CR59" s="7"/>
      <c r="CS59" s="7"/>
      <c r="CT59" s="7"/>
      <c r="CU59" s="7"/>
      <c r="CV59" s="7"/>
      <c r="CW59" s="7"/>
    </row>
    <row r="60" spans="1:101" s="12" customFormat="1" ht="38.25" x14ac:dyDescent="0.2">
      <c r="A60" s="14" t="s">
        <v>953</v>
      </c>
      <c r="B60" s="15" t="s">
        <v>972</v>
      </c>
      <c r="C60" s="15" t="s">
        <v>976</v>
      </c>
      <c r="D60" s="15"/>
      <c r="E60" s="15"/>
      <c r="F60" s="15" t="s">
        <v>977</v>
      </c>
      <c r="G60" s="15"/>
      <c r="H60" s="15" t="s">
        <v>972</v>
      </c>
      <c r="I60" s="15">
        <v>0</v>
      </c>
      <c r="J60" s="15" t="s">
        <v>1318</v>
      </c>
      <c r="K60" s="15" t="s">
        <v>1319</v>
      </c>
      <c r="L60" s="15">
        <v>0</v>
      </c>
      <c r="M60" s="15" t="s">
        <v>1261</v>
      </c>
      <c r="N60" s="15"/>
      <c r="O60" s="16"/>
      <c r="P60" s="15" t="s">
        <v>1262</v>
      </c>
      <c r="Q60" s="15"/>
      <c r="R60" s="15"/>
      <c r="S60" s="15"/>
      <c r="T60" s="16">
        <v>20000000</v>
      </c>
      <c r="U60" s="15"/>
      <c r="V60" s="15"/>
      <c r="W60" s="15"/>
      <c r="X60" s="15"/>
      <c r="Y60" s="15"/>
      <c r="Z60" s="15"/>
      <c r="AA60" s="15"/>
      <c r="AB60" s="15"/>
      <c r="AC60" s="15"/>
      <c r="AD60" s="16"/>
      <c r="AE60" s="15" t="s">
        <v>972</v>
      </c>
      <c r="AF60" s="15" t="s">
        <v>1026</v>
      </c>
      <c r="AG60" s="15" t="s">
        <v>1268</v>
      </c>
      <c r="AH60" s="15"/>
      <c r="AI60" s="15" t="s">
        <v>976</v>
      </c>
      <c r="AJ60" s="15"/>
      <c r="AK60" s="15"/>
      <c r="AL60" s="15"/>
      <c r="AM60" s="15"/>
      <c r="AN60" s="15"/>
      <c r="AO60" s="15"/>
      <c r="AP60" s="15"/>
      <c r="AQ60" s="15"/>
      <c r="AR60" s="15"/>
      <c r="AS60" s="15"/>
      <c r="AT60" s="15"/>
      <c r="AU60" s="15"/>
      <c r="AV60" s="15"/>
      <c r="AW60" s="15"/>
      <c r="AX60" s="15"/>
      <c r="AY60" s="15"/>
      <c r="AZ60" s="15"/>
      <c r="BA60" s="15"/>
      <c r="BB60" s="15"/>
      <c r="BC60" s="15"/>
      <c r="BD60" s="15"/>
      <c r="BE60" s="15"/>
      <c r="BF60" s="16"/>
      <c r="BG60" s="15"/>
      <c r="BH60" s="15"/>
      <c r="BI60" s="15"/>
      <c r="BJ60" s="15"/>
      <c r="BK60" s="16"/>
      <c r="BL60" s="15"/>
      <c r="BM60" s="15"/>
      <c r="BN60" s="15"/>
      <c r="BO60" s="15"/>
      <c r="BP60" s="15"/>
      <c r="BQ60" s="15"/>
      <c r="BR60" s="15"/>
      <c r="BS60" s="15"/>
      <c r="BT60" s="15"/>
      <c r="BU60" s="15"/>
      <c r="BV60" s="15" t="s">
        <v>976</v>
      </c>
      <c r="BW60" s="15"/>
      <c r="BX60" s="15"/>
      <c r="BY60" s="15"/>
      <c r="BZ60" s="15"/>
      <c r="CA60" s="15"/>
      <c r="CB60" s="15"/>
      <c r="CC60" s="15"/>
      <c r="CD60" s="15"/>
      <c r="CE60" s="15"/>
      <c r="CF60" s="15"/>
      <c r="CG60" s="15"/>
      <c r="CH60" s="15"/>
      <c r="CI60" s="15"/>
      <c r="CJ60" s="16"/>
      <c r="CK60" s="15"/>
      <c r="CL60" s="15"/>
      <c r="CM60" s="15"/>
      <c r="CN60" s="16"/>
      <c r="CO60" s="15"/>
      <c r="CP60" s="15"/>
      <c r="CQ60" s="15"/>
      <c r="CR60" s="15"/>
      <c r="CS60" s="15"/>
      <c r="CT60" s="15"/>
      <c r="CU60" s="15"/>
      <c r="CV60" s="15"/>
      <c r="CW60" s="15"/>
    </row>
    <row r="61" spans="1:101" s="12" customFormat="1" x14ac:dyDescent="0.2">
      <c r="A61" s="20" t="s">
        <v>3541</v>
      </c>
      <c r="B61" s="21">
        <f>COUNTA(B3:B60)</f>
        <v>58</v>
      </c>
      <c r="C61" s="21">
        <f t="shared" ref="C61:BN61" si="0">COUNTA(C3:C60)</f>
        <v>58</v>
      </c>
      <c r="D61" s="21">
        <f t="shared" si="0"/>
        <v>10</v>
      </c>
      <c r="E61" s="21">
        <f t="shared" si="0"/>
        <v>10</v>
      </c>
      <c r="F61" s="21">
        <f t="shared" si="0"/>
        <v>58</v>
      </c>
      <c r="G61" s="21">
        <f t="shared" si="0"/>
        <v>0</v>
      </c>
      <c r="H61" s="21">
        <f t="shared" si="0"/>
        <v>58</v>
      </c>
      <c r="I61" s="21">
        <f t="shared" si="0"/>
        <v>43</v>
      </c>
      <c r="J61" s="21">
        <f t="shared" si="0"/>
        <v>57</v>
      </c>
      <c r="K61" s="21">
        <f t="shared" si="0"/>
        <v>4</v>
      </c>
      <c r="L61" s="21">
        <f t="shared" si="0"/>
        <v>55</v>
      </c>
      <c r="M61" s="21">
        <f t="shared" si="0"/>
        <v>58</v>
      </c>
      <c r="N61" s="21">
        <f t="shared" si="0"/>
        <v>2</v>
      </c>
      <c r="O61" s="21">
        <f t="shared" si="0"/>
        <v>2</v>
      </c>
      <c r="P61" s="21">
        <f t="shared" si="0"/>
        <v>55</v>
      </c>
      <c r="Q61" s="21">
        <f t="shared" si="0"/>
        <v>6</v>
      </c>
      <c r="R61" s="21">
        <f t="shared" si="0"/>
        <v>0</v>
      </c>
      <c r="S61" s="21">
        <f t="shared" si="0"/>
        <v>1</v>
      </c>
      <c r="T61" s="21">
        <f t="shared" si="0"/>
        <v>27</v>
      </c>
      <c r="U61" s="21">
        <f t="shared" si="0"/>
        <v>57</v>
      </c>
      <c r="V61" s="21">
        <f t="shared" si="0"/>
        <v>3</v>
      </c>
      <c r="W61" s="21">
        <f t="shared" si="0"/>
        <v>0</v>
      </c>
      <c r="X61" s="21">
        <f t="shared" si="0"/>
        <v>0</v>
      </c>
      <c r="Y61" s="21">
        <f t="shared" si="0"/>
        <v>0</v>
      </c>
      <c r="Z61" s="21">
        <f t="shared" si="0"/>
        <v>3</v>
      </c>
      <c r="AA61" s="21">
        <f t="shared" si="0"/>
        <v>56</v>
      </c>
      <c r="AB61" s="21">
        <f t="shared" si="0"/>
        <v>6</v>
      </c>
      <c r="AC61" s="21">
        <f t="shared" si="0"/>
        <v>0</v>
      </c>
      <c r="AD61" s="21">
        <f t="shared" si="0"/>
        <v>4</v>
      </c>
      <c r="AE61" s="21">
        <f t="shared" si="0"/>
        <v>58</v>
      </c>
      <c r="AF61" s="21">
        <f t="shared" si="0"/>
        <v>2</v>
      </c>
      <c r="AG61" s="21">
        <f t="shared" si="0"/>
        <v>58</v>
      </c>
      <c r="AH61" s="21">
        <f t="shared" si="0"/>
        <v>23</v>
      </c>
      <c r="AI61" s="21">
        <f t="shared" si="0"/>
        <v>58</v>
      </c>
      <c r="AJ61" s="21">
        <f t="shared" si="0"/>
        <v>14</v>
      </c>
      <c r="AK61" s="21">
        <f t="shared" si="0"/>
        <v>1</v>
      </c>
      <c r="AL61" s="21">
        <f t="shared" si="0"/>
        <v>10</v>
      </c>
      <c r="AM61" s="21">
        <f t="shared" si="0"/>
        <v>0</v>
      </c>
      <c r="AN61" s="21">
        <f t="shared" si="0"/>
        <v>0</v>
      </c>
      <c r="AO61" s="21">
        <f t="shared" si="0"/>
        <v>15</v>
      </c>
      <c r="AP61" s="21">
        <f t="shared" si="0"/>
        <v>2</v>
      </c>
      <c r="AQ61" s="21">
        <f t="shared" si="0"/>
        <v>2</v>
      </c>
      <c r="AR61" s="21">
        <f t="shared" si="0"/>
        <v>15</v>
      </c>
      <c r="AS61" s="21">
        <f t="shared" si="0"/>
        <v>1</v>
      </c>
      <c r="AT61" s="21">
        <f t="shared" si="0"/>
        <v>15</v>
      </c>
      <c r="AU61" s="21">
        <f t="shared" si="0"/>
        <v>9</v>
      </c>
      <c r="AV61" s="21">
        <f t="shared" si="0"/>
        <v>15</v>
      </c>
      <c r="AW61" s="21">
        <f t="shared" si="0"/>
        <v>2</v>
      </c>
      <c r="AX61" s="21">
        <f t="shared" si="0"/>
        <v>10</v>
      </c>
      <c r="AY61" s="21">
        <f t="shared" si="0"/>
        <v>2</v>
      </c>
      <c r="AZ61" s="21">
        <f t="shared" si="0"/>
        <v>14</v>
      </c>
      <c r="BA61" s="21">
        <f t="shared" si="0"/>
        <v>3</v>
      </c>
      <c r="BB61" s="21">
        <f t="shared" si="0"/>
        <v>14</v>
      </c>
      <c r="BC61" s="21">
        <f t="shared" si="0"/>
        <v>14</v>
      </c>
      <c r="BD61" s="21">
        <f t="shared" si="0"/>
        <v>14</v>
      </c>
      <c r="BE61" s="21">
        <f t="shared" si="0"/>
        <v>2</v>
      </c>
      <c r="BF61" s="21">
        <f t="shared" si="0"/>
        <v>1</v>
      </c>
      <c r="BG61" s="21">
        <f t="shared" si="0"/>
        <v>7</v>
      </c>
      <c r="BH61" s="21">
        <f t="shared" si="0"/>
        <v>1</v>
      </c>
      <c r="BI61" s="21">
        <f t="shared" si="0"/>
        <v>2</v>
      </c>
      <c r="BJ61" s="21">
        <f t="shared" si="0"/>
        <v>1</v>
      </c>
      <c r="BK61" s="21">
        <f t="shared" si="0"/>
        <v>8</v>
      </c>
      <c r="BL61" s="21">
        <f t="shared" si="0"/>
        <v>15</v>
      </c>
      <c r="BM61" s="21">
        <f t="shared" si="0"/>
        <v>0</v>
      </c>
      <c r="BN61" s="21">
        <f t="shared" si="0"/>
        <v>0</v>
      </c>
      <c r="BO61" s="21">
        <f t="shared" ref="BO61:CW61" si="1">COUNTA(BO3:BO60)</f>
        <v>0</v>
      </c>
      <c r="BP61" s="21">
        <f t="shared" si="1"/>
        <v>0</v>
      </c>
      <c r="BQ61" s="21">
        <f t="shared" si="1"/>
        <v>0</v>
      </c>
      <c r="BR61" s="21">
        <f t="shared" si="1"/>
        <v>15</v>
      </c>
      <c r="BS61" s="21">
        <f t="shared" si="1"/>
        <v>1</v>
      </c>
      <c r="BT61" s="21">
        <f t="shared" si="1"/>
        <v>15</v>
      </c>
      <c r="BU61" s="21">
        <f t="shared" si="1"/>
        <v>11</v>
      </c>
      <c r="BV61" s="21">
        <f t="shared" si="1"/>
        <v>58</v>
      </c>
      <c r="BW61" s="21">
        <f t="shared" si="1"/>
        <v>23</v>
      </c>
      <c r="BX61" s="21">
        <f t="shared" si="1"/>
        <v>7</v>
      </c>
      <c r="BY61" s="21">
        <f t="shared" si="1"/>
        <v>8</v>
      </c>
      <c r="BZ61" s="21">
        <f t="shared" si="1"/>
        <v>23</v>
      </c>
      <c r="CA61" s="21">
        <f t="shared" si="1"/>
        <v>1</v>
      </c>
      <c r="CB61" s="21">
        <f t="shared" si="1"/>
        <v>23</v>
      </c>
      <c r="CC61" s="21">
        <f t="shared" si="1"/>
        <v>17</v>
      </c>
      <c r="CD61" s="21">
        <f t="shared" si="1"/>
        <v>23</v>
      </c>
      <c r="CE61" s="21">
        <f t="shared" si="1"/>
        <v>11</v>
      </c>
      <c r="CF61" s="21">
        <f t="shared" si="1"/>
        <v>22</v>
      </c>
      <c r="CG61" s="21">
        <f t="shared" si="1"/>
        <v>23</v>
      </c>
      <c r="CH61" s="21">
        <f t="shared" si="1"/>
        <v>23</v>
      </c>
      <c r="CI61" s="21">
        <f t="shared" si="1"/>
        <v>8</v>
      </c>
      <c r="CJ61" s="21">
        <f t="shared" si="1"/>
        <v>5</v>
      </c>
      <c r="CK61" s="21">
        <f t="shared" si="1"/>
        <v>6</v>
      </c>
      <c r="CL61" s="21">
        <f t="shared" si="1"/>
        <v>2</v>
      </c>
      <c r="CM61" s="21">
        <f t="shared" si="1"/>
        <v>5</v>
      </c>
      <c r="CN61" s="21">
        <f t="shared" si="1"/>
        <v>18</v>
      </c>
      <c r="CO61" s="21">
        <f t="shared" si="1"/>
        <v>22</v>
      </c>
      <c r="CP61" s="21">
        <f t="shared" si="1"/>
        <v>1</v>
      </c>
      <c r="CQ61" s="21">
        <f t="shared" si="1"/>
        <v>0</v>
      </c>
      <c r="CR61" s="21">
        <f t="shared" si="1"/>
        <v>0</v>
      </c>
      <c r="CS61" s="21">
        <f t="shared" si="1"/>
        <v>0</v>
      </c>
      <c r="CT61" s="21">
        <f t="shared" si="1"/>
        <v>1</v>
      </c>
      <c r="CU61" s="21">
        <f t="shared" si="1"/>
        <v>23</v>
      </c>
      <c r="CV61" s="21">
        <f t="shared" si="1"/>
        <v>0</v>
      </c>
      <c r="CW61" s="21">
        <f t="shared" si="1"/>
        <v>22</v>
      </c>
    </row>
    <row r="62" spans="1:101" s="12" customFormat="1" x14ac:dyDescent="0.2">
      <c r="B62" s="10"/>
      <c r="C62" s="10"/>
      <c r="D62" s="10"/>
      <c r="E62" s="10"/>
      <c r="F62" s="10"/>
      <c r="G62" s="10"/>
      <c r="H62" s="10"/>
      <c r="I62" s="10"/>
      <c r="J62" s="10"/>
      <c r="K62" s="10"/>
      <c r="L62" s="10"/>
      <c r="M62" s="10"/>
      <c r="N62" s="10"/>
      <c r="O62" s="11"/>
      <c r="P62" s="10"/>
      <c r="Q62" s="10"/>
      <c r="R62" s="10"/>
      <c r="S62" s="10"/>
      <c r="T62" s="11"/>
      <c r="U62" s="10"/>
      <c r="V62" s="10"/>
      <c r="W62" s="10"/>
      <c r="X62" s="10"/>
      <c r="Y62" s="10"/>
      <c r="Z62" s="10"/>
      <c r="AA62" s="10"/>
      <c r="AB62" s="10"/>
      <c r="AC62" s="10"/>
      <c r="AD62" s="11"/>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1"/>
      <c r="BG62" s="10"/>
      <c r="BH62" s="10"/>
      <c r="BI62" s="10"/>
      <c r="BJ62" s="10"/>
      <c r="BK62" s="11"/>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1"/>
      <c r="CK62" s="10"/>
      <c r="CL62" s="10"/>
      <c r="CM62" s="10"/>
      <c r="CN62" s="11"/>
      <c r="CO62" s="10"/>
      <c r="CP62" s="10"/>
      <c r="CQ62" s="10"/>
      <c r="CR62" s="10"/>
      <c r="CS62" s="10"/>
      <c r="CT62" s="10"/>
      <c r="CU62" s="10"/>
      <c r="CV62" s="10"/>
      <c r="CW62" s="10"/>
    </row>
    <row r="63" spans="1:101" s="12" customFormat="1" x14ac:dyDescent="0.2">
      <c r="B63" s="10"/>
      <c r="C63" s="10"/>
      <c r="D63" s="10"/>
      <c r="E63" s="10"/>
      <c r="F63" s="10"/>
      <c r="G63" s="10"/>
      <c r="H63" s="10"/>
      <c r="I63" s="10"/>
      <c r="J63" s="10"/>
      <c r="K63" s="10"/>
      <c r="L63" s="10"/>
      <c r="M63" s="10"/>
      <c r="N63" s="10"/>
      <c r="O63" s="11"/>
      <c r="P63" s="10"/>
      <c r="Q63" s="10"/>
      <c r="R63" s="10"/>
      <c r="S63" s="10"/>
      <c r="T63" s="11"/>
      <c r="U63" s="10"/>
      <c r="V63" s="10"/>
      <c r="W63" s="10"/>
      <c r="X63" s="10"/>
      <c r="Y63" s="10"/>
      <c r="Z63" s="10"/>
      <c r="AA63" s="10"/>
      <c r="AB63" s="10"/>
      <c r="AC63" s="10"/>
      <c r="AD63" s="11"/>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1"/>
      <c r="BG63" s="10"/>
      <c r="BH63" s="10"/>
      <c r="BI63" s="10"/>
      <c r="BJ63" s="10"/>
      <c r="BK63" s="11"/>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1"/>
      <c r="CK63" s="10"/>
      <c r="CL63" s="10"/>
      <c r="CM63" s="10"/>
      <c r="CN63" s="11"/>
      <c r="CO63" s="10"/>
      <c r="CP63" s="10"/>
      <c r="CQ63" s="10"/>
      <c r="CR63" s="10"/>
      <c r="CS63" s="10"/>
      <c r="CT63" s="10"/>
      <c r="CU63" s="10"/>
      <c r="CV63" s="10"/>
      <c r="CW63" s="10"/>
    </row>
    <row r="64" spans="1:101" s="12" customFormat="1" x14ac:dyDescent="0.2">
      <c r="B64" s="10"/>
      <c r="C64" s="10"/>
      <c r="D64" s="10"/>
      <c r="E64" s="10"/>
      <c r="F64" s="10"/>
      <c r="G64" s="10"/>
      <c r="H64" s="10"/>
      <c r="I64" s="10"/>
      <c r="J64" s="10"/>
      <c r="K64" s="10"/>
      <c r="L64" s="10"/>
      <c r="M64" s="10"/>
      <c r="N64" s="10"/>
      <c r="O64" s="11"/>
      <c r="P64" s="10"/>
      <c r="Q64" s="10"/>
      <c r="R64" s="10"/>
      <c r="S64" s="10"/>
      <c r="T64" s="11"/>
      <c r="U64" s="10"/>
      <c r="V64" s="10"/>
      <c r="W64" s="10"/>
      <c r="X64" s="10"/>
      <c r="Y64" s="10"/>
      <c r="Z64" s="10"/>
      <c r="AA64" s="10"/>
      <c r="AB64" s="10"/>
      <c r="AC64" s="10"/>
      <c r="AD64" s="11"/>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1"/>
      <c r="BG64" s="10"/>
      <c r="BH64" s="10"/>
      <c r="BI64" s="10"/>
      <c r="BJ64" s="10"/>
      <c r="BK64" s="11"/>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1"/>
      <c r="CK64" s="10"/>
      <c r="CL64" s="10"/>
      <c r="CM64" s="10"/>
      <c r="CN64" s="11"/>
      <c r="CO64" s="10"/>
      <c r="CP64" s="10"/>
      <c r="CQ64" s="10"/>
      <c r="CR64" s="10"/>
      <c r="CS64" s="10"/>
      <c r="CT64" s="10"/>
      <c r="CU64" s="10"/>
      <c r="CV64" s="10"/>
      <c r="CW64" s="10"/>
    </row>
    <row r="65" spans="2:101" s="12" customFormat="1" x14ac:dyDescent="0.2">
      <c r="B65" s="10"/>
      <c r="C65" s="10"/>
      <c r="D65" s="10"/>
      <c r="E65" s="10"/>
      <c r="F65" s="10"/>
      <c r="G65" s="10"/>
      <c r="H65" s="10"/>
      <c r="I65" s="10"/>
      <c r="J65" s="10"/>
      <c r="K65" s="10"/>
      <c r="L65" s="10"/>
      <c r="M65" s="10"/>
      <c r="N65" s="10"/>
      <c r="O65" s="11"/>
      <c r="P65" s="10"/>
      <c r="Q65" s="10"/>
      <c r="R65" s="10"/>
      <c r="S65" s="10"/>
      <c r="T65" s="11"/>
      <c r="U65" s="10"/>
      <c r="V65" s="10"/>
      <c r="W65" s="10"/>
      <c r="X65" s="10"/>
      <c r="Y65" s="10"/>
      <c r="Z65" s="10"/>
      <c r="AA65" s="10"/>
      <c r="AB65" s="10"/>
      <c r="AC65" s="10"/>
      <c r="AD65" s="11"/>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1"/>
      <c r="BG65" s="10"/>
      <c r="BH65" s="10"/>
      <c r="BI65" s="10"/>
      <c r="BJ65" s="10"/>
      <c r="BK65" s="11"/>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1"/>
      <c r="CK65" s="10"/>
      <c r="CL65" s="10"/>
      <c r="CM65" s="10"/>
      <c r="CN65" s="11"/>
      <c r="CO65" s="10"/>
      <c r="CP65" s="10"/>
      <c r="CQ65" s="10"/>
      <c r="CR65" s="10"/>
      <c r="CS65" s="10"/>
      <c r="CT65" s="10"/>
      <c r="CU65" s="10"/>
      <c r="CV65" s="10"/>
      <c r="CW65" s="10"/>
    </row>
    <row r="66" spans="2:101" s="12" customFormat="1" x14ac:dyDescent="0.2">
      <c r="B66" s="10"/>
      <c r="C66" s="10"/>
      <c r="D66" s="10"/>
      <c r="E66" s="10"/>
      <c r="F66" s="10"/>
      <c r="G66" s="10"/>
      <c r="H66" s="10"/>
      <c r="I66" s="10"/>
      <c r="J66" s="10"/>
      <c r="K66" s="10"/>
      <c r="L66" s="10"/>
      <c r="M66" s="10"/>
      <c r="N66" s="10"/>
      <c r="O66" s="11"/>
      <c r="P66" s="10"/>
      <c r="Q66" s="10"/>
      <c r="R66" s="10"/>
      <c r="S66" s="10"/>
      <c r="T66" s="11"/>
      <c r="U66" s="10"/>
      <c r="V66" s="10"/>
      <c r="W66" s="10"/>
      <c r="X66" s="10"/>
      <c r="Y66" s="10"/>
      <c r="Z66" s="10"/>
      <c r="AA66" s="10"/>
      <c r="AB66" s="10"/>
      <c r="AC66" s="10"/>
      <c r="AD66" s="11"/>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1"/>
      <c r="BG66" s="10"/>
      <c r="BH66" s="10"/>
      <c r="BI66" s="10"/>
      <c r="BJ66" s="10"/>
      <c r="BK66" s="11"/>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1"/>
      <c r="CK66" s="10"/>
      <c r="CL66" s="10"/>
      <c r="CM66" s="10"/>
      <c r="CN66" s="11"/>
      <c r="CO66" s="10"/>
      <c r="CP66" s="10"/>
      <c r="CQ66" s="10"/>
      <c r="CR66" s="10"/>
      <c r="CS66" s="10"/>
      <c r="CT66" s="10"/>
      <c r="CU66" s="10"/>
      <c r="CV66" s="10"/>
      <c r="CW66" s="10"/>
    </row>
    <row r="67" spans="2:101" s="12" customFormat="1" x14ac:dyDescent="0.2">
      <c r="B67" s="10"/>
      <c r="C67" s="10"/>
      <c r="D67" s="10"/>
      <c r="E67" s="10"/>
      <c r="F67" s="10"/>
      <c r="G67" s="10"/>
      <c r="H67" s="10"/>
      <c r="I67" s="10"/>
      <c r="J67" s="10"/>
      <c r="K67" s="10"/>
      <c r="L67" s="10"/>
      <c r="M67" s="10"/>
      <c r="N67" s="10"/>
      <c r="O67" s="11"/>
      <c r="P67" s="10"/>
      <c r="Q67" s="10"/>
      <c r="R67" s="10"/>
      <c r="S67" s="10"/>
      <c r="T67" s="11"/>
      <c r="U67" s="10"/>
      <c r="V67" s="10"/>
      <c r="W67" s="10"/>
      <c r="X67" s="10"/>
      <c r="Y67" s="10"/>
      <c r="Z67" s="10"/>
      <c r="AA67" s="10"/>
      <c r="AB67" s="10"/>
      <c r="AC67" s="10"/>
      <c r="AD67" s="11"/>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1"/>
      <c r="BG67" s="10"/>
      <c r="BH67" s="10"/>
      <c r="BI67" s="10"/>
      <c r="BJ67" s="10"/>
      <c r="BK67" s="11"/>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1"/>
      <c r="CK67" s="10"/>
      <c r="CL67" s="10"/>
      <c r="CM67" s="10"/>
      <c r="CN67" s="11"/>
      <c r="CO67" s="10"/>
      <c r="CP67" s="10"/>
      <c r="CQ67" s="10"/>
      <c r="CR67" s="10"/>
      <c r="CS67" s="10"/>
      <c r="CT67" s="10"/>
      <c r="CU67" s="10"/>
      <c r="CV67" s="10"/>
      <c r="CW67" s="10"/>
    </row>
    <row r="68" spans="2:101" s="12" customFormat="1" x14ac:dyDescent="0.2">
      <c r="B68" s="10"/>
      <c r="C68" s="10"/>
      <c r="D68" s="10"/>
      <c r="E68" s="10"/>
      <c r="F68" s="10"/>
      <c r="G68" s="10"/>
      <c r="H68" s="10"/>
      <c r="I68" s="10"/>
      <c r="J68" s="10"/>
      <c r="K68" s="10"/>
      <c r="L68" s="10"/>
      <c r="M68" s="10"/>
      <c r="N68" s="10"/>
      <c r="O68" s="11"/>
      <c r="P68" s="10"/>
      <c r="Q68" s="10"/>
      <c r="R68" s="10"/>
      <c r="S68" s="10"/>
      <c r="T68" s="11"/>
      <c r="U68" s="10"/>
      <c r="V68" s="10"/>
      <c r="W68" s="10"/>
      <c r="X68" s="10"/>
      <c r="Y68" s="10"/>
      <c r="Z68" s="10"/>
      <c r="AA68" s="10"/>
      <c r="AB68" s="10"/>
      <c r="AC68" s="10"/>
      <c r="AD68" s="11"/>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1"/>
      <c r="BG68" s="10"/>
      <c r="BH68" s="10"/>
      <c r="BI68" s="10"/>
      <c r="BJ68" s="10"/>
      <c r="BK68" s="11"/>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1"/>
      <c r="CK68" s="10"/>
      <c r="CL68" s="10"/>
      <c r="CM68" s="10"/>
      <c r="CN68" s="11"/>
      <c r="CO68" s="10"/>
      <c r="CP68" s="10"/>
      <c r="CQ68" s="10"/>
      <c r="CR68" s="10"/>
      <c r="CS68" s="10"/>
      <c r="CT68" s="10"/>
      <c r="CU68" s="10"/>
      <c r="CV68" s="10"/>
      <c r="CW68" s="10"/>
    </row>
  </sheetData>
  <autoFilter ref="A2:CW60" xr:uid="{00000000-0009-0000-0000-000004000000}">
    <sortState xmlns:xlrd2="http://schemas.microsoft.com/office/spreadsheetml/2017/richdata2" ref="A3:CW60">
      <sortCondition ref="A3:A60"/>
    </sortState>
  </autoFilter>
  <conditionalFormatting sqref="A3:A59">
    <cfRule type="duplicateValues" dxfId="26" priority="2"/>
    <cfRule type="duplicateValues" dxfId="25" priority="3"/>
  </conditionalFormatting>
  <conditionalFormatting sqref="A60">
    <cfRule type="duplicateValues" dxfId="24" priority="1"/>
  </conditionalFormatting>
  <hyperlinks>
    <hyperlink ref="A1" location="Index!A1" display="Back to Index" xr:uid="{00000000-0004-0000-0400-000000000000}"/>
  </hyperlinks>
  <pageMargins left="0.7" right="0.7" top="0.75" bottom="0.75" header="0.3" footer="0.3"/>
  <pageSetup paperSize="168"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F68"/>
  <sheetViews>
    <sheetView zoomScaleNormal="100" workbookViewId="0">
      <pane xSplit="1" ySplit="2" topLeftCell="B3" activePane="bottomRight" state="frozen"/>
      <selection sqref="A1:B1"/>
      <selection pane="topRight" sqref="A1:B1"/>
      <selection pane="bottomLeft" sqref="A1:B1"/>
      <selection pane="bottomRight" activeCell="B3" sqref="B3"/>
    </sheetView>
  </sheetViews>
  <sheetFormatPr defaultRowHeight="12.75" x14ac:dyDescent="0.2"/>
  <cols>
    <col min="1" max="1" width="13.5703125" style="6" bestFit="1" customWidth="1"/>
    <col min="2" max="2" width="30.7109375" style="7" customWidth="1"/>
    <col min="3" max="3" width="36.7109375" style="7" customWidth="1"/>
    <col min="4" max="55" width="30.7109375" style="7" customWidth="1"/>
    <col min="56" max="56" width="50.7109375" style="7" customWidth="1"/>
    <col min="57" max="63" width="30.7109375" style="7" customWidth="1"/>
    <col min="64" max="64" width="30.7109375" style="8" customWidth="1"/>
    <col min="65" max="69" width="30.7109375" style="7" customWidth="1"/>
    <col min="70" max="70" width="30.7109375" style="8" customWidth="1"/>
    <col min="71" max="84" width="30.7109375" style="7" customWidth="1"/>
    <col min="85" max="16384" width="9.140625" style="6"/>
  </cols>
  <sheetData>
    <row r="1" spans="1:84" s="3" customFormat="1" x14ac:dyDescent="0.2">
      <c r="A1" s="19" t="s">
        <v>969</v>
      </c>
      <c r="B1" s="1" t="s">
        <v>265</v>
      </c>
      <c r="C1" s="1" t="s">
        <v>266</v>
      </c>
      <c r="D1" s="1" t="s">
        <v>267</v>
      </c>
      <c r="E1" s="1" t="s">
        <v>268</v>
      </c>
      <c r="F1" s="1" t="s">
        <v>269</v>
      </c>
      <c r="G1" s="1" t="s">
        <v>270</v>
      </c>
      <c r="H1" s="1" t="s">
        <v>271</v>
      </c>
      <c r="I1" s="1" t="s">
        <v>272</v>
      </c>
      <c r="J1" s="1" t="s">
        <v>273</v>
      </c>
      <c r="K1" s="1" t="s">
        <v>274</v>
      </c>
      <c r="L1" s="1" t="s">
        <v>275</v>
      </c>
      <c r="M1" s="1" t="s">
        <v>276</v>
      </c>
      <c r="N1" s="1" t="s">
        <v>277</v>
      </c>
      <c r="O1" s="1" t="s">
        <v>278</v>
      </c>
      <c r="P1" s="1" t="s">
        <v>279</v>
      </c>
      <c r="Q1" s="1" t="s">
        <v>280</v>
      </c>
      <c r="R1" s="1" t="s">
        <v>281</v>
      </c>
      <c r="S1" s="1" t="s">
        <v>282</v>
      </c>
      <c r="T1" s="1" t="s">
        <v>283</v>
      </c>
      <c r="U1" s="1" t="s">
        <v>284</v>
      </c>
      <c r="V1" s="1" t="s">
        <v>285</v>
      </c>
      <c r="W1" s="1" t="s">
        <v>286</v>
      </c>
      <c r="X1" s="1" t="s">
        <v>287</v>
      </c>
      <c r="Y1" s="1" t="s">
        <v>288</v>
      </c>
      <c r="Z1" s="1" t="s">
        <v>289</v>
      </c>
      <c r="AA1" s="1" t="s">
        <v>290</v>
      </c>
      <c r="AB1" s="1" t="s">
        <v>291</v>
      </c>
      <c r="AC1" s="1" t="s">
        <v>292</v>
      </c>
      <c r="AD1" s="1" t="s">
        <v>293</v>
      </c>
      <c r="AE1" s="1" t="s">
        <v>294</v>
      </c>
      <c r="AF1" s="1" t="s">
        <v>295</v>
      </c>
      <c r="AG1" s="1" t="s">
        <v>296</v>
      </c>
      <c r="AH1" s="1" t="s">
        <v>297</v>
      </c>
      <c r="AI1" s="1" t="s">
        <v>298</v>
      </c>
      <c r="AJ1" s="1" t="s">
        <v>299</v>
      </c>
      <c r="AK1" s="1" t="s">
        <v>300</v>
      </c>
      <c r="AL1" s="1" t="s">
        <v>301</v>
      </c>
      <c r="AM1" s="1" t="s">
        <v>302</v>
      </c>
      <c r="AN1" s="1" t="s">
        <v>303</v>
      </c>
      <c r="AO1" s="1" t="s">
        <v>304</v>
      </c>
      <c r="AP1" s="1" t="s">
        <v>305</v>
      </c>
      <c r="AQ1" s="1" t="s">
        <v>306</v>
      </c>
      <c r="AR1" s="1" t="s">
        <v>307</v>
      </c>
      <c r="AS1" s="1" t="s">
        <v>308</v>
      </c>
      <c r="AT1" s="1" t="s">
        <v>309</v>
      </c>
      <c r="AU1" s="1" t="s">
        <v>310</v>
      </c>
      <c r="AV1" s="1" t="s">
        <v>311</v>
      </c>
      <c r="AW1" s="1" t="s">
        <v>312</v>
      </c>
      <c r="AX1" s="1" t="s">
        <v>313</v>
      </c>
      <c r="AY1" s="1" t="s">
        <v>314</v>
      </c>
      <c r="AZ1" s="1" t="s">
        <v>315</v>
      </c>
      <c r="BA1" s="1" t="s">
        <v>316</v>
      </c>
      <c r="BB1" s="1" t="s">
        <v>317</v>
      </c>
      <c r="BC1" s="1" t="s">
        <v>318</v>
      </c>
      <c r="BD1" s="1" t="s">
        <v>319</v>
      </c>
      <c r="BE1" s="1" t="s">
        <v>320</v>
      </c>
      <c r="BF1" s="1" t="s">
        <v>321</v>
      </c>
      <c r="BG1" s="1" t="s">
        <v>322</v>
      </c>
      <c r="BH1" s="1" t="s">
        <v>323</v>
      </c>
      <c r="BI1" s="1" t="s">
        <v>324</v>
      </c>
      <c r="BJ1" s="1" t="s">
        <v>325</v>
      </c>
      <c r="BK1" s="1" t="s">
        <v>326</v>
      </c>
      <c r="BL1" s="2" t="s">
        <v>327</v>
      </c>
      <c r="BM1" s="1" t="s">
        <v>328</v>
      </c>
      <c r="BN1" s="1" t="s">
        <v>329</v>
      </c>
      <c r="BO1" s="1" t="s">
        <v>330</v>
      </c>
      <c r="BP1" s="1" t="s">
        <v>331</v>
      </c>
      <c r="BQ1" s="1" t="s">
        <v>332</v>
      </c>
      <c r="BR1" s="2" t="s">
        <v>333</v>
      </c>
      <c r="BS1" s="1" t="s">
        <v>334</v>
      </c>
      <c r="BT1" s="1" t="s">
        <v>335</v>
      </c>
      <c r="BU1" s="1" t="s">
        <v>336</v>
      </c>
      <c r="BV1" s="1" t="s">
        <v>337</v>
      </c>
      <c r="BW1" s="1" t="s">
        <v>338</v>
      </c>
      <c r="BX1" s="1" t="s">
        <v>339</v>
      </c>
      <c r="BY1" s="1" t="s">
        <v>340</v>
      </c>
      <c r="BZ1" s="1" t="s">
        <v>341</v>
      </c>
      <c r="CA1" s="1" t="s">
        <v>342</v>
      </c>
      <c r="CB1" s="1" t="s">
        <v>343</v>
      </c>
      <c r="CC1" s="1" t="s">
        <v>344</v>
      </c>
      <c r="CD1" s="1" t="s">
        <v>345</v>
      </c>
      <c r="CE1" s="1" t="s">
        <v>346</v>
      </c>
      <c r="CF1" s="1" t="s">
        <v>347</v>
      </c>
    </row>
    <row r="2" spans="1:84" s="3" customFormat="1" ht="63.75" x14ac:dyDescent="0.2">
      <c r="A2" s="3" t="s">
        <v>968</v>
      </c>
      <c r="B2" s="4" t="s">
        <v>2863</v>
      </c>
      <c r="C2" s="1" t="s">
        <v>2864</v>
      </c>
      <c r="D2" s="4" t="s">
        <v>2865</v>
      </c>
      <c r="E2" s="4" t="s">
        <v>2866</v>
      </c>
      <c r="F2" s="1" t="s">
        <v>2867</v>
      </c>
      <c r="G2" s="1" t="s">
        <v>2868</v>
      </c>
      <c r="H2" s="1" t="s">
        <v>3429</v>
      </c>
      <c r="I2" s="4" t="s">
        <v>2869</v>
      </c>
      <c r="J2" s="4" t="s">
        <v>2870</v>
      </c>
      <c r="K2" s="1" t="s">
        <v>2871</v>
      </c>
      <c r="L2" s="1" t="s">
        <v>2872</v>
      </c>
      <c r="M2" s="4" t="s">
        <v>3430</v>
      </c>
      <c r="N2" s="4" t="s">
        <v>2760</v>
      </c>
      <c r="O2" s="1" t="s">
        <v>2873</v>
      </c>
      <c r="P2" s="1" t="s">
        <v>2874</v>
      </c>
      <c r="Q2" s="4" t="s">
        <v>2747</v>
      </c>
      <c r="R2" s="1" t="s">
        <v>2875</v>
      </c>
      <c r="S2" s="4" t="s">
        <v>2876</v>
      </c>
      <c r="T2" s="1" t="s">
        <v>2817</v>
      </c>
      <c r="U2" s="1" t="s">
        <v>2818</v>
      </c>
      <c r="V2" s="1" t="s">
        <v>2819</v>
      </c>
      <c r="W2" s="1" t="s">
        <v>2877</v>
      </c>
      <c r="X2" s="1" t="s">
        <v>2878</v>
      </c>
      <c r="Y2" s="1" t="s">
        <v>2879</v>
      </c>
      <c r="Z2" s="1" t="s">
        <v>2822</v>
      </c>
      <c r="AA2" s="1" t="s">
        <v>3435</v>
      </c>
      <c r="AB2" s="4" t="s">
        <v>2880</v>
      </c>
      <c r="AC2" s="1" t="s">
        <v>2881</v>
      </c>
      <c r="AD2" s="4" t="s">
        <v>2824</v>
      </c>
      <c r="AE2" s="1" t="s">
        <v>2767</v>
      </c>
      <c r="AF2" s="1" t="s">
        <v>2768</v>
      </c>
      <c r="AG2" s="1" t="s">
        <v>2709</v>
      </c>
      <c r="AH2" s="1" t="s">
        <v>2769</v>
      </c>
      <c r="AI2" s="1" t="s">
        <v>2711</v>
      </c>
      <c r="AJ2" s="4" t="s">
        <v>2882</v>
      </c>
      <c r="AK2" s="4" t="s">
        <v>3431</v>
      </c>
      <c r="AL2" s="1" t="s">
        <v>2883</v>
      </c>
      <c r="AM2" s="4" t="s">
        <v>2884</v>
      </c>
      <c r="AN2" s="1" t="s">
        <v>2885</v>
      </c>
      <c r="AO2" s="1" t="s">
        <v>2886</v>
      </c>
      <c r="AP2" s="4" t="s">
        <v>2887</v>
      </c>
      <c r="AQ2" s="4" t="s">
        <v>2888</v>
      </c>
      <c r="AR2" s="1" t="s">
        <v>2889</v>
      </c>
      <c r="AS2" s="1" t="s">
        <v>2890</v>
      </c>
      <c r="AT2" s="1" t="s">
        <v>3432</v>
      </c>
      <c r="AU2" s="4" t="s">
        <v>2891</v>
      </c>
      <c r="AV2" s="4" t="s">
        <v>3433</v>
      </c>
      <c r="AW2" s="1" t="s">
        <v>2892</v>
      </c>
      <c r="AX2" s="1" t="s">
        <v>2893</v>
      </c>
      <c r="AY2" s="4" t="s">
        <v>2894</v>
      </c>
      <c r="AZ2" s="4" t="s">
        <v>2760</v>
      </c>
      <c r="BA2" s="1" t="s">
        <v>2895</v>
      </c>
      <c r="BB2" s="1" t="s">
        <v>2896</v>
      </c>
      <c r="BC2" s="4" t="s">
        <v>2897</v>
      </c>
      <c r="BD2" s="4" t="s">
        <v>2898</v>
      </c>
      <c r="BE2" s="1" t="s">
        <v>2899</v>
      </c>
      <c r="BF2" s="1" t="s">
        <v>2900</v>
      </c>
      <c r="BG2" s="4" t="s">
        <v>2747</v>
      </c>
      <c r="BH2" s="1" t="s">
        <v>2901</v>
      </c>
      <c r="BI2" s="4" t="s">
        <v>2902</v>
      </c>
      <c r="BJ2" s="1" t="s">
        <v>2817</v>
      </c>
      <c r="BK2" s="1" t="s">
        <v>2818</v>
      </c>
      <c r="BL2" s="2" t="s">
        <v>2819</v>
      </c>
      <c r="BM2" s="1" t="s">
        <v>2877</v>
      </c>
      <c r="BN2" s="1" t="s">
        <v>2878</v>
      </c>
      <c r="BO2" s="1" t="s">
        <v>2879</v>
      </c>
      <c r="BP2" s="1" t="s">
        <v>3425</v>
      </c>
      <c r="BQ2" s="1" t="s">
        <v>3434</v>
      </c>
      <c r="BR2" s="5" t="s">
        <v>2880</v>
      </c>
      <c r="BS2" s="1" t="s">
        <v>2903</v>
      </c>
      <c r="BT2" s="1" t="s">
        <v>2904</v>
      </c>
      <c r="BU2" s="1" t="s">
        <v>3436</v>
      </c>
      <c r="BV2" s="1" t="s">
        <v>3437</v>
      </c>
      <c r="BW2" s="4" t="s">
        <v>2824</v>
      </c>
      <c r="BX2" s="1" t="s">
        <v>2767</v>
      </c>
      <c r="BY2" s="1" t="s">
        <v>2768</v>
      </c>
      <c r="BZ2" s="1" t="s">
        <v>2709</v>
      </c>
      <c r="CA2" s="1" t="s">
        <v>2769</v>
      </c>
      <c r="CB2" s="1" t="s">
        <v>2711</v>
      </c>
      <c r="CC2" s="4" t="s">
        <v>2905</v>
      </c>
      <c r="CD2" s="4" t="s">
        <v>3438</v>
      </c>
      <c r="CE2" s="1" t="s">
        <v>2906</v>
      </c>
      <c r="CF2" s="1" t="s">
        <v>2907</v>
      </c>
    </row>
    <row r="3" spans="1:84" x14ac:dyDescent="0.2">
      <c r="A3" s="6" t="s">
        <v>922</v>
      </c>
      <c r="B3" s="7" t="s">
        <v>976</v>
      </c>
      <c r="AM3" s="7" t="s">
        <v>976</v>
      </c>
    </row>
    <row r="4" spans="1:84" x14ac:dyDescent="0.2">
      <c r="A4" s="6" t="s">
        <v>930</v>
      </c>
      <c r="B4" s="7" t="s">
        <v>972</v>
      </c>
      <c r="C4" s="7" t="s">
        <v>1347</v>
      </c>
      <c r="D4" s="7" t="s">
        <v>973</v>
      </c>
      <c r="I4" s="7" t="s">
        <v>976</v>
      </c>
      <c r="K4" s="7" t="s">
        <v>977</v>
      </c>
      <c r="M4" s="7" t="s">
        <v>972</v>
      </c>
      <c r="N4" s="7">
        <v>0</v>
      </c>
      <c r="O4" s="7" t="s">
        <v>1260</v>
      </c>
      <c r="Q4" s="7" t="s">
        <v>1191</v>
      </c>
      <c r="R4" s="7">
        <v>180</v>
      </c>
      <c r="S4" s="7">
        <v>4</v>
      </c>
      <c r="T4" s="7" t="s">
        <v>1284</v>
      </c>
      <c r="Z4" s="9">
        <v>1</v>
      </c>
      <c r="AC4" s="7">
        <v>90</v>
      </c>
      <c r="AD4" s="7" t="s">
        <v>982</v>
      </c>
      <c r="AJ4" s="7" t="s">
        <v>976</v>
      </c>
      <c r="AL4" s="7" t="s">
        <v>973</v>
      </c>
      <c r="AM4" s="7" t="s">
        <v>972</v>
      </c>
      <c r="AN4" s="7" t="s">
        <v>1333</v>
      </c>
      <c r="AP4" s="7" t="s">
        <v>1003</v>
      </c>
      <c r="AR4" s="7" t="s">
        <v>1166</v>
      </c>
      <c r="AU4" s="7" t="s">
        <v>976</v>
      </c>
      <c r="AW4" s="7" t="s">
        <v>977</v>
      </c>
      <c r="AY4" s="7" t="s">
        <v>972</v>
      </c>
      <c r="BA4" s="7" t="s">
        <v>1340</v>
      </c>
      <c r="BC4" s="7" t="s">
        <v>1335</v>
      </c>
      <c r="BE4" s="7" t="s">
        <v>1260</v>
      </c>
      <c r="BG4" s="7" t="s">
        <v>1191</v>
      </c>
      <c r="BH4" s="7">
        <v>0</v>
      </c>
      <c r="BI4" s="7">
        <v>270</v>
      </c>
      <c r="BJ4" s="7" t="s">
        <v>1284</v>
      </c>
      <c r="BP4" s="9">
        <v>0.75</v>
      </c>
      <c r="BS4" s="7" t="s">
        <v>1336</v>
      </c>
      <c r="BW4" s="7" t="s">
        <v>982</v>
      </c>
      <c r="CC4" s="7" t="s">
        <v>976</v>
      </c>
      <c r="CE4" s="7" t="s">
        <v>1268</v>
      </c>
    </row>
    <row r="5" spans="1:84" x14ac:dyDescent="0.2">
      <c r="A5" s="6" t="s">
        <v>927</v>
      </c>
      <c r="B5" s="7" t="s">
        <v>972</v>
      </c>
      <c r="C5" s="7" t="s">
        <v>1347</v>
      </c>
      <c r="D5" s="7" t="s">
        <v>973</v>
      </c>
      <c r="I5" s="7" t="s">
        <v>972</v>
      </c>
      <c r="J5" s="7">
        <v>2</v>
      </c>
      <c r="K5" s="7" t="s">
        <v>977</v>
      </c>
      <c r="M5" s="7" t="s">
        <v>972</v>
      </c>
      <c r="N5" s="7">
        <v>0</v>
      </c>
      <c r="O5" s="7" t="s">
        <v>1260</v>
      </c>
      <c r="Q5" s="7" t="s">
        <v>1191</v>
      </c>
      <c r="R5" s="7">
        <v>0</v>
      </c>
      <c r="S5" s="7">
        <v>0</v>
      </c>
      <c r="T5" s="7" t="s">
        <v>1284</v>
      </c>
      <c r="Z5" s="9">
        <v>0.75</v>
      </c>
      <c r="AD5" s="7" t="s">
        <v>982</v>
      </c>
      <c r="AJ5" s="7" t="s">
        <v>976</v>
      </c>
      <c r="AL5" s="7" t="s">
        <v>1008</v>
      </c>
      <c r="AM5" s="7" t="s">
        <v>972</v>
      </c>
      <c r="AN5" s="7" t="s">
        <v>1333</v>
      </c>
      <c r="AP5" s="7" t="s">
        <v>1003</v>
      </c>
      <c r="AR5" s="7" t="s">
        <v>1166</v>
      </c>
      <c r="AU5" s="7" t="s">
        <v>976</v>
      </c>
      <c r="AW5" s="7" t="s">
        <v>977</v>
      </c>
      <c r="AY5" s="7" t="s">
        <v>972</v>
      </c>
      <c r="AZ5" s="7">
        <v>0</v>
      </c>
      <c r="BA5" s="7" t="s">
        <v>1340</v>
      </c>
      <c r="BC5" s="7" t="s">
        <v>1335</v>
      </c>
      <c r="BE5" s="7" t="s">
        <v>1260</v>
      </c>
      <c r="BG5" s="7" t="s">
        <v>1191</v>
      </c>
      <c r="BH5" s="7">
        <v>0</v>
      </c>
      <c r="BJ5" s="7" t="s">
        <v>1284</v>
      </c>
      <c r="BP5" s="9">
        <v>0.75</v>
      </c>
      <c r="BS5" s="7" t="s">
        <v>1336</v>
      </c>
      <c r="BW5" s="7" t="s">
        <v>982</v>
      </c>
      <c r="CC5" s="7" t="s">
        <v>976</v>
      </c>
      <c r="CE5" s="7" t="s">
        <v>1008</v>
      </c>
    </row>
    <row r="6" spans="1:84" x14ac:dyDescent="0.2">
      <c r="A6" s="6" t="s">
        <v>914</v>
      </c>
      <c r="B6" s="7" t="s">
        <v>976</v>
      </c>
      <c r="AM6" s="7" t="s">
        <v>972</v>
      </c>
      <c r="AN6" s="7" t="s">
        <v>1273</v>
      </c>
      <c r="AP6" s="7" t="s">
        <v>1003</v>
      </c>
      <c r="AR6" s="7" t="s">
        <v>1312</v>
      </c>
      <c r="AU6" s="7" t="s">
        <v>976</v>
      </c>
      <c r="AW6" s="7" t="s">
        <v>977</v>
      </c>
      <c r="AY6" s="7" t="s">
        <v>976</v>
      </c>
      <c r="BA6" s="7" t="s">
        <v>1340</v>
      </c>
      <c r="BC6" s="7" t="s">
        <v>1335</v>
      </c>
      <c r="BE6" s="7" t="s">
        <v>1260</v>
      </c>
      <c r="BG6" s="7" t="s">
        <v>1191</v>
      </c>
      <c r="BH6" s="7">
        <v>0</v>
      </c>
      <c r="BJ6" s="7" t="s">
        <v>1040</v>
      </c>
      <c r="BK6" s="7" t="s">
        <v>972</v>
      </c>
      <c r="BL6" s="8">
        <v>70000</v>
      </c>
      <c r="BR6" s="8">
        <v>70000</v>
      </c>
      <c r="BS6" s="7" t="s">
        <v>1341</v>
      </c>
      <c r="BW6" s="7" t="s">
        <v>982</v>
      </c>
      <c r="CC6" s="7" t="s">
        <v>976</v>
      </c>
      <c r="CE6" s="7" t="s">
        <v>1268</v>
      </c>
    </row>
    <row r="7" spans="1:84" x14ac:dyDescent="0.2">
      <c r="A7" s="6" t="s">
        <v>920</v>
      </c>
      <c r="B7" s="7" t="s">
        <v>976</v>
      </c>
      <c r="AM7" s="7" t="s">
        <v>972</v>
      </c>
      <c r="AN7" s="7" t="s">
        <v>1333</v>
      </c>
      <c r="AP7" s="7" t="s">
        <v>973</v>
      </c>
      <c r="AU7" s="7" t="s">
        <v>976</v>
      </c>
      <c r="AW7" s="7" t="s">
        <v>977</v>
      </c>
      <c r="AY7" s="7" t="s">
        <v>972</v>
      </c>
      <c r="AZ7" s="7">
        <v>20</v>
      </c>
      <c r="BA7" s="7" t="s">
        <v>1334</v>
      </c>
      <c r="BC7" s="7" t="s">
        <v>1342</v>
      </c>
      <c r="BE7" s="7" t="s">
        <v>1260</v>
      </c>
      <c r="BG7" s="7" t="s">
        <v>1191</v>
      </c>
      <c r="BH7" s="7">
        <v>0</v>
      </c>
      <c r="BI7" s="7">
        <v>182</v>
      </c>
      <c r="BJ7" s="7" t="s">
        <v>1284</v>
      </c>
      <c r="BP7" s="29">
        <v>0.66669999999999996</v>
      </c>
      <c r="BS7" s="7" t="s">
        <v>1336</v>
      </c>
      <c r="BW7" s="7" t="s">
        <v>982</v>
      </c>
      <c r="CC7" s="7" t="s">
        <v>976</v>
      </c>
      <c r="CE7" s="7" t="s">
        <v>1268</v>
      </c>
    </row>
    <row r="8" spans="1:84" x14ac:dyDescent="0.2">
      <c r="A8" s="6" t="s">
        <v>959</v>
      </c>
      <c r="B8" s="7" t="s">
        <v>972</v>
      </c>
      <c r="C8" s="7" t="s">
        <v>1338</v>
      </c>
      <c r="D8" s="7" t="s">
        <v>973</v>
      </c>
      <c r="I8" s="7" t="s">
        <v>976</v>
      </c>
      <c r="K8" s="7" t="s">
        <v>977</v>
      </c>
      <c r="M8" s="7" t="s">
        <v>972</v>
      </c>
      <c r="N8" s="7">
        <v>20</v>
      </c>
      <c r="O8" s="7" t="s">
        <v>1269</v>
      </c>
      <c r="Q8" s="7" t="s">
        <v>1156</v>
      </c>
      <c r="S8" s="7">
        <v>0</v>
      </c>
      <c r="T8" s="7" t="s">
        <v>1284</v>
      </c>
      <c r="Z8" s="9">
        <v>1</v>
      </c>
      <c r="AC8" s="7">
        <v>91</v>
      </c>
      <c r="AD8" s="7" t="s">
        <v>982</v>
      </c>
      <c r="AJ8" s="7" t="s">
        <v>976</v>
      </c>
      <c r="AL8" s="7" t="s">
        <v>1387</v>
      </c>
      <c r="AM8" s="7" t="s">
        <v>972</v>
      </c>
      <c r="AN8" s="7" t="s">
        <v>1333</v>
      </c>
      <c r="AP8" s="7" t="s">
        <v>1003</v>
      </c>
      <c r="AR8" s="7" t="s">
        <v>1166</v>
      </c>
      <c r="AU8" s="7" t="s">
        <v>976</v>
      </c>
      <c r="AW8" s="7" t="s">
        <v>977</v>
      </c>
      <c r="AY8" s="7" t="s">
        <v>972</v>
      </c>
      <c r="AZ8" s="7">
        <v>20</v>
      </c>
      <c r="BA8" s="7" t="s">
        <v>1334</v>
      </c>
      <c r="BC8" s="7" t="s">
        <v>1335</v>
      </c>
      <c r="BE8" s="7" t="s">
        <v>1260</v>
      </c>
      <c r="BG8" s="7" t="s">
        <v>1191</v>
      </c>
      <c r="BH8" s="7">
        <v>91</v>
      </c>
      <c r="BI8" s="7">
        <v>91</v>
      </c>
      <c r="BJ8" s="7" t="s">
        <v>1284</v>
      </c>
      <c r="BP8" s="9">
        <v>0.75</v>
      </c>
      <c r="BS8" s="7" t="s">
        <v>990</v>
      </c>
      <c r="BT8" s="7" t="s">
        <v>1388</v>
      </c>
      <c r="BW8" s="7" t="s">
        <v>982</v>
      </c>
      <c r="CC8" s="7" t="s">
        <v>976</v>
      </c>
      <c r="CE8" s="7" t="s">
        <v>1168</v>
      </c>
    </row>
    <row r="9" spans="1:84" ht="25.5" x14ac:dyDescent="0.2">
      <c r="A9" s="6" t="s">
        <v>933</v>
      </c>
      <c r="B9" s="7" t="s">
        <v>972</v>
      </c>
      <c r="C9" s="7" t="s">
        <v>1338</v>
      </c>
      <c r="D9" s="7" t="s">
        <v>990</v>
      </c>
      <c r="E9" s="7" t="s">
        <v>1356</v>
      </c>
      <c r="I9" s="7" t="s">
        <v>976</v>
      </c>
      <c r="K9" s="7" t="s">
        <v>977</v>
      </c>
      <c r="M9" s="7" t="s">
        <v>972</v>
      </c>
      <c r="N9" s="7">
        <v>8</v>
      </c>
      <c r="O9" s="7" t="s">
        <v>1285</v>
      </c>
      <c r="P9" s="7" t="s">
        <v>1357</v>
      </c>
      <c r="Q9" s="7" t="s">
        <v>1191</v>
      </c>
      <c r="R9" s="7">
        <v>0</v>
      </c>
      <c r="T9" s="7" t="s">
        <v>994</v>
      </c>
      <c r="AA9" s="7" t="s">
        <v>1358</v>
      </c>
      <c r="AC9" s="7">
        <v>182</v>
      </c>
      <c r="AD9" s="7" t="s">
        <v>982</v>
      </c>
      <c r="AJ9" s="7" t="s">
        <v>976</v>
      </c>
      <c r="AM9" s="7" t="s">
        <v>972</v>
      </c>
      <c r="AN9" s="7" t="s">
        <v>1333</v>
      </c>
      <c r="AP9" s="7" t="s">
        <v>1003</v>
      </c>
      <c r="AR9" s="7" t="s">
        <v>1312</v>
      </c>
      <c r="AU9" s="7" t="s">
        <v>976</v>
      </c>
      <c r="AW9" s="7" t="s">
        <v>977</v>
      </c>
      <c r="AY9" s="7" t="s">
        <v>972</v>
      </c>
      <c r="AZ9" s="7">
        <v>8</v>
      </c>
      <c r="BA9" s="7" t="s">
        <v>1334</v>
      </c>
      <c r="BC9" s="7" t="s">
        <v>1335</v>
      </c>
      <c r="BE9" s="7" t="s">
        <v>1260</v>
      </c>
      <c r="BG9" s="7" t="s">
        <v>1191</v>
      </c>
      <c r="BH9" s="7">
        <v>0</v>
      </c>
      <c r="BI9" s="7">
        <v>182</v>
      </c>
      <c r="BJ9" s="7" t="s">
        <v>1284</v>
      </c>
      <c r="BP9" s="9">
        <v>0.75</v>
      </c>
      <c r="BS9" s="7" t="s">
        <v>990</v>
      </c>
      <c r="BT9" s="7" t="s">
        <v>1359</v>
      </c>
      <c r="BW9" s="7" t="s">
        <v>982</v>
      </c>
      <c r="CC9" s="7" t="s">
        <v>976</v>
      </c>
      <c r="CE9" s="7" t="s">
        <v>1268</v>
      </c>
    </row>
    <row r="10" spans="1:84" ht="38.25" x14ac:dyDescent="0.2">
      <c r="A10" s="6" t="s">
        <v>912</v>
      </c>
      <c r="B10" s="7" t="s">
        <v>976</v>
      </c>
      <c r="AM10" s="7" t="s">
        <v>972</v>
      </c>
      <c r="AN10" s="7" t="s">
        <v>1333</v>
      </c>
      <c r="AP10" s="7" t="s">
        <v>1003</v>
      </c>
      <c r="AR10" s="7" t="s">
        <v>1166</v>
      </c>
      <c r="AU10" s="7" t="s">
        <v>972</v>
      </c>
      <c r="AV10" s="7">
        <v>4</v>
      </c>
      <c r="AW10" s="7" t="s">
        <v>977</v>
      </c>
      <c r="AY10" s="7" t="s">
        <v>972</v>
      </c>
      <c r="BA10" s="7" t="s">
        <v>1334</v>
      </c>
      <c r="BC10" s="7" t="s">
        <v>1335</v>
      </c>
      <c r="BE10" s="7" t="s">
        <v>1260</v>
      </c>
      <c r="BG10" s="7" t="s">
        <v>1156</v>
      </c>
      <c r="BH10" s="7">
        <v>0</v>
      </c>
      <c r="BI10" s="7">
        <v>91</v>
      </c>
      <c r="BJ10" s="7" t="s">
        <v>1284</v>
      </c>
      <c r="BP10" s="9">
        <v>0.75</v>
      </c>
      <c r="BR10" s="8">
        <v>425000</v>
      </c>
      <c r="BS10" s="7" t="s">
        <v>1336</v>
      </c>
      <c r="BW10" s="7" t="s">
        <v>993</v>
      </c>
      <c r="BX10" s="7" t="s">
        <v>994</v>
      </c>
      <c r="CB10" s="7" t="s">
        <v>1337</v>
      </c>
      <c r="CC10" s="7" t="s">
        <v>976</v>
      </c>
    </row>
    <row r="11" spans="1:84" x14ac:dyDescent="0.2">
      <c r="A11" s="6" t="s">
        <v>936</v>
      </c>
      <c r="B11" s="7" t="s">
        <v>976</v>
      </c>
      <c r="AM11" s="7" t="s">
        <v>972</v>
      </c>
      <c r="AN11" s="7" t="s">
        <v>1333</v>
      </c>
      <c r="AP11" s="7" t="s">
        <v>1003</v>
      </c>
      <c r="AR11" s="7" t="s">
        <v>1166</v>
      </c>
      <c r="AU11" s="7" t="s">
        <v>976</v>
      </c>
      <c r="AW11" s="7" t="s">
        <v>977</v>
      </c>
      <c r="AY11" s="7" t="s">
        <v>972</v>
      </c>
      <c r="AZ11" s="7">
        <v>20</v>
      </c>
      <c r="BA11" s="7" t="s">
        <v>1334</v>
      </c>
      <c r="BC11" s="7" t="s">
        <v>1335</v>
      </c>
      <c r="BE11" s="7" t="s">
        <v>1260</v>
      </c>
      <c r="BG11" s="7" t="s">
        <v>1191</v>
      </c>
      <c r="BH11" s="7">
        <v>0</v>
      </c>
      <c r="BI11" s="7">
        <v>182</v>
      </c>
      <c r="BJ11" s="7" t="s">
        <v>1284</v>
      </c>
      <c r="BP11" s="9">
        <v>0.75</v>
      </c>
      <c r="BS11" s="7" t="s">
        <v>1336</v>
      </c>
      <c r="BW11" s="7" t="s">
        <v>982</v>
      </c>
      <c r="CC11" s="7" t="s">
        <v>976</v>
      </c>
      <c r="CE11" s="7" t="s">
        <v>990</v>
      </c>
      <c r="CF11" s="7" t="s">
        <v>1275</v>
      </c>
    </row>
    <row r="12" spans="1:84" x14ac:dyDescent="0.2">
      <c r="A12" s="6" t="s">
        <v>911</v>
      </c>
      <c r="B12" s="7" t="s">
        <v>976</v>
      </c>
      <c r="AM12" s="7" t="s">
        <v>972</v>
      </c>
      <c r="AN12" s="7" t="s">
        <v>1333</v>
      </c>
      <c r="AP12" s="7" t="s">
        <v>973</v>
      </c>
      <c r="AU12" s="7" t="s">
        <v>976</v>
      </c>
      <c r="AW12" s="7" t="s">
        <v>977</v>
      </c>
      <c r="AY12" s="7" t="s">
        <v>972</v>
      </c>
      <c r="AZ12" s="7">
        <v>0</v>
      </c>
      <c r="BA12" s="7" t="s">
        <v>1334</v>
      </c>
      <c r="BC12" s="7" t="s">
        <v>1335</v>
      </c>
      <c r="BE12" s="7" t="s">
        <v>1260</v>
      </c>
      <c r="BG12" s="7" t="s">
        <v>1191</v>
      </c>
      <c r="BH12" s="7">
        <v>0</v>
      </c>
      <c r="BI12" s="7">
        <v>187</v>
      </c>
      <c r="BJ12" s="7" t="s">
        <v>1284</v>
      </c>
      <c r="BP12" s="9">
        <v>0.5</v>
      </c>
      <c r="BR12" s="8">
        <v>150000</v>
      </c>
      <c r="BS12" s="7" t="s">
        <v>1336</v>
      </c>
      <c r="BW12" s="7" t="s">
        <v>982</v>
      </c>
      <c r="CC12" s="7" t="s">
        <v>976</v>
      </c>
      <c r="CE12" s="7" t="s">
        <v>1263</v>
      </c>
    </row>
    <row r="13" spans="1:84" ht="25.5" x14ac:dyDescent="0.2">
      <c r="A13" s="6" t="s">
        <v>928</v>
      </c>
      <c r="B13" s="7" t="s">
        <v>972</v>
      </c>
      <c r="C13" s="7" t="s">
        <v>1338</v>
      </c>
      <c r="D13" s="7" t="s">
        <v>990</v>
      </c>
      <c r="E13" s="7" t="s">
        <v>1351</v>
      </c>
      <c r="I13" s="7" t="s">
        <v>976</v>
      </c>
      <c r="K13" s="7" t="s">
        <v>977</v>
      </c>
      <c r="M13" s="7" t="s">
        <v>972</v>
      </c>
      <c r="O13" s="7" t="s">
        <v>1260</v>
      </c>
      <c r="Q13" s="7" t="s">
        <v>1191</v>
      </c>
      <c r="T13" s="7" t="s">
        <v>1284</v>
      </c>
      <c r="AD13" s="7" t="s">
        <v>982</v>
      </c>
      <c r="AJ13" s="7" t="s">
        <v>976</v>
      </c>
      <c r="AM13" s="7" t="s">
        <v>972</v>
      </c>
      <c r="AN13" s="7" t="s">
        <v>1333</v>
      </c>
      <c r="AP13" s="7" t="s">
        <v>1003</v>
      </c>
      <c r="AR13" s="7" t="s">
        <v>1166</v>
      </c>
      <c r="AU13" s="7" t="s">
        <v>976</v>
      </c>
      <c r="AW13" s="7" t="s">
        <v>977</v>
      </c>
      <c r="AY13" s="7" t="s">
        <v>972</v>
      </c>
      <c r="BA13" s="7" t="s">
        <v>1334</v>
      </c>
      <c r="BC13" s="7" t="s">
        <v>1335</v>
      </c>
      <c r="BE13" s="7" t="s">
        <v>1352</v>
      </c>
      <c r="BG13" s="7" t="s">
        <v>1191</v>
      </c>
      <c r="BI13" s="7">
        <v>182</v>
      </c>
      <c r="BJ13" s="7" t="s">
        <v>1284</v>
      </c>
      <c r="BP13" s="9">
        <v>0.75</v>
      </c>
      <c r="BW13" s="7" t="s">
        <v>982</v>
      </c>
      <c r="CC13" s="7" t="s">
        <v>976</v>
      </c>
      <c r="CE13" s="7" t="s">
        <v>990</v>
      </c>
      <c r="CF13" s="7" t="s">
        <v>1282</v>
      </c>
    </row>
    <row r="14" spans="1:84" x14ac:dyDescent="0.2">
      <c r="A14" s="6" t="s">
        <v>926</v>
      </c>
      <c r="B14" s="7" t="s">
        <v>972</v>
      </c>
      <c r="C14" s="7" t="s">
        <v>1338</v>
      </c>
      <c r="D14" s="7" t="s">
        <v>973</v>
      </c>
      <c r="I14" s="7" t="s">
        <v>976</v>
      </c>
      <c r="K14" s="7" t="s">
        <v>977</v>
      </c>
      <c r="M14" s="7" t="s">
        <v>976</v>
      </c>
      <c r="O14" s="7" t="s">
        <v>1260</v>
      </c>
      <c r="Q14" s="7" t="s">
        <v>1191</v>
      </c>
      <c r="R14" s="7">
        <v>0</v>
      </c>
      <c r="S14" s="7">
        <v>0</v>
      </c>
      <c r="T14" s="7" t="s">
        <v>1284</v>
      </c>
      <c r="Z14" s="9">
        <v>1</v>
      </c>
      <c r="AD14" s="7" t="s">
        <v>982</v>
      </c>
      <c r="AJ14" s="7" t="s">
        <v>976</v>
      </c>
      <c r="AM14" s="7" t="s">
        <v>976</v>
      </c>
    </row>
    <row r="15" spans="1:84" x14ac:dyDescent="0.2">
      <c r="A15" s="6" t="s">
        <v>948</v>
      </c>
      <c r="B15" s="7" t="s">
        <v>976</v>
      </c>
      <c r="AM15" s="7" t="s">
        <v>972</v>
      </c>
      <c r="AN15" s="7" t="s">
        <v>1333</v>
      </c>
      <c r="AP15" s="7" t="s">
        <v>1003</v>
      </c>
      <c r="AR15" s="7" t="s">
        <v>1166</v>
      </c>
      <c r="AU15" s="7" t="s">
        <v>976</v>
      </c>
      <c r="AW15" s="7" t="s">
        <v>977</v>
      </c>
      <c r="AY15" s="7" t="s">
        <v>972</v>
      </c>
      <c r="AZ15" s="7">
        <v>1</v>
      </c>
      <c r="BA15" s="7" t="s">
        <v>1334</v>
      </c>
      <c r="BC15" s="7" t="s">
        <v>1335</v>
      </c>
      <c r="BE15" s="7" t="s">
        <v>1260</v>
      </c>
      <c r="BG15" s="7" t="s">
        <v>1191</v>
      </c>
      <c r="BH15" s="7">
        <v>0</v>
      </c>
      <c r="BI15" s="7">
        <v>182</v>
      </c>
      <c r="BJ15" s="7" t="s">
        <v>1284</v>
      </c>
      <c r="BP15" s="30">
        <v>0.5</v>
      </c>
      <c r="BS15" s="7" t="s">
        <v>1336</v>
      </c>
      <c r="BW15" s="7" t="s">
        <v>982</v>
      </c>
      <c r="CC15" s="7" t="s">
        <v>976</v>
      </c>
      <c r="CE15" s="7" t="s">
        <v>1268</v>
      </c>
    </row>
    <row r="16" spans="1:84" ht="76.5" x14ac:dyDescent="0.2">
      <c r="A16" s="6" t="s">
        <v>932</v>
      </c>
      <c r="B16" s="7" t="s">
        <v>976</v>
      </c>
      <c r="AB16" s="7" t="s">
        <v>2670</v>
      </c>
      <c r="AM16" s="7" t="s">
        <v>972</v>
      </c>
      <c r="AN16" s="7" t="s">
        <v>1333</v>
      </c>
      <c r="AP16" s="7" t="s">
        <v>1003</v>
      </c>
      <c r="AR16" s="7" t="s">
        <v>1166</v>
      </c>
      <c r="AU16" s="7" t="s">
        <v>976</v>
      </c>
      <c r="AW16" s="7" t="s">
        <v>977</v>
      </c>
      <c r="AY16" s="7" t="s">
        <v>972</v>
      </c>
      <c r="AZ16" s="7">
        <v>20</v>
      </c>
      <c r="BA16" s="7" t="s">
        <v>1334</v>
      </c>
      <c r="BC16" s="7" t="s">
        <v>990</v>
      </c>
      <c r="BD16" s="7" t="s">
        <v>3569</v>
      </c>
      <c r="BE16" s="7" t="s">
        <v>990</v>
      </c>
      <c r="BF16" s="7" t="s">
        <v>1355</v>
      </c>
      <c r="BG16" s="7" t="s">
        <v>1156</v>
      </c>
      <c r="BH16" s="7">
        <v>0</v>
      </c>
      <c r="BI16" s="7">
        <v>183</v>
      </c>
      <c r="BJ16" s="7" t="s">
        <v>1284</v>
      </c>
      <c r="BP16" s="9">
        <v>0.7</v>
      </c>
      <c r="BS16" s="7" t="s">
        <v>1336</v>
      </c>
      <c r="BW16" s="7" t="s">
        <v>982</v>
      </c>
      <c r="CC16" s="7" t="s">
        <v>976</v>
      </c>
      <c r="CE16" s="7" t="s">
        <v>1168</v>
      </c>
    </row>
    <row r="17" spans="1:84" x14ac:dyDescent="0.2">
      <c r="A17" s="6" t="s">
        <v>941</v>
      </c>
      <c r="B17" s="7" t="s">
        <v>976</v>
      </c>
      <c r="AM17" s="7" t="s">
        <v>972</v>
      </c>
      <c r="AN17" s="7" t="s">
        <v>1333</v>
      </c>
      <c r="AP17" s="7" t="s">
        <v>1003</v>
      </c>
      <c r="AR17" s="7" t="s">
        <v>1166</v>
      </c>
      <c r="AU17" s="7" t="s">
        <v>976</v>
      </c>
      <c r="AW17" s="7" t="s">
        <v>990</v>
      </c>
      <c r="AX17" s="7" t="s">
        <v>1372</v>
      </c>
      <c r="AY17" s="7" t="s">
        <v>972</v>
      </c>
      <c r="AZ17" s="7">
        <v>1</v>
      </c>
      <c r="BA17" s="7" t="s">
        <v>1334</v>
      </c>
      <c r="BC17" s="7" t="s">
        <v>1335</v>
      </c>
      <c r="BE17" s="7" t="s">
        <v>1279</v>
      </c>
      <c r="BG17" s="7" t="s">
        <v>1191</v>
      </c>
      <c r="BH17" s="7">
        <v>0</v>
      </c>
      <c r="BI17" s="7">
        <v>182</v>
      </c>
      <c r="BJ17" s="7" t="s">
        <v>1284</v>
      </c>
      <c r="BP17" s="9">
        <v>0.75</v>
      </c>
      <c r="BS17" s="7" t="s">
        <v>1336</v>
      </c>
      <c r="BW17" s="7" t="s">
        <v>982</v>
      </c>
      <c r="CC17" s="7" t="s">
        <v>976</v>
      </c>
      <c r="CE17" s="7" t="s">
        <v>1008</v>
      </c>
    </row>
    <row r="18" spans="1:84" x14ac:dyDescent="0.2">
      <c r="A18" s="6" t="s">
        <v>956</v>
      </c>
      <c r="B18" s="7" t="s">
        <v>976</v>
      </c>
      <c r="AM18" s="7" t="s">
        <v>972</v>
      </c>
      <c r="AN18" s="7" t="s">
        <v>1333</v>
      </c>
      <c r="AP18" s="7" t="s">
        <v>1003</v>
      </c>
      <c r="AR18" s="7" t="s">
        <v>1166</v>
      </c>
      <c r="AU18" s="7" t="s">
        <v>976</v>
      </c>
      <c r="AW18" s="7" t="s">
        <v>977</v>
      </c>
      <c r="AY18" s="7" t="s">
        <v>972</v>
      </c>
      <c r="AZ18" s="7">
        <v>0</v>
      </c>
      <c r="BA18" s="7" t="s">
        <v>1334</v>
      </c>
      <c r="BC18" s="7" t="s">
        <v>1342</v>
      </c>
      <c r="BE18" s="7" t="s">
        <v>1260</v>
      </c>
      <c r="BG18" s="7" t="s">
        <v>1191</v>
      </c>
      <c r="BH18" s="7">
        <v>0</v>
      </c>
      <c r="BI18" s="7">
        <v>181</v>
      </c>
      <c r="BJ18" s="7" t="s">
        <v>1284</v>
      </c>
      <c r="BP18" s="9">
        <v>0.75</v>
      </c>
      <c r="BS18" s="7" t="s">
        <v>1344</v>
      </c>
      <c r="BU18" s="7">
        <v>60</v>
      </c>
      <c r="BW18" s="7" t="s">
        <v>982</v>
      </c>
      <c r="CC18" s="7" t="s">
        <v>976</v>
      </c>
      <c r="CE18" s="7" t="s">
        <v>990</v>
      </c>
      <c r="CF18" s="7" t="s">
        <v>1353</v>
      </c>
    </row>
    <row r="19" spans="1:84" x14ac:dyDescent="0.2">
      <c r="A19" s="6" t="s">
        <v>934</v>
      </c>
      <c r="B19" s="7" t="s">
        <v>972</v>
      </c>
      <c r="C19" s="7" t="s">
        <v>1347</v>
      </c>
      <c r="D19" s="7" t="s">
        <v>1003</v>
      </c>
      <c r="F19" s="7" t="s">
        <v>1166</v>
      </c>
      <c r="I19" s="7" t="s">
        <v>976</v>
      </c>
      <c r="K19" s="7" t="s">
        <v>977</v>
      </c>
      <c r="M19" s="7" t="s">
        <v>972</v>
      </c>
      <c r="N19" s="7">
        <v>0</v>
      </c>
      <c r="O19" s="7" t="s">
        <v>1260</v>
      </c>
      <c r="Q19" s="7" t="s">
        <v>1191</v>
      </c>
      <c r="R19" s="7">
        <v>0</v>
      </c>
      <c r="S19" s="7">
        <v>0</v>
      </c>
      <c r="T19" s="7" t="s">
        <v>1284</v>
      </c>
      <c r="Z19" s="9">
        <v>0.67</v>
      </c>
      <c r="AC19" s="7">
        <v>180</v>
      </c>
      <c r="AD19" s="7" t="s">
        <v>982</v>
      </c>
      <c r="AJ19" s="7" t="s">
        <v>976</v>
      </c>
      <c r="AL19" s="7" t="s">
        <v>1294</v>
      </c>
      <c r="AM19" s="7" t="s">
        <v>972</v>
      </c>
      <c r="AN19" s="7" t="s">
        <v>1333</v>
      </c>
      <c r="AP19" s="7" t="s">
        <v>1003</v>
      </c>
      <c r="AR19" s="7" t="s">
        <v>1312</v>
      </c>
      <c r="AU19" s="7" t="s">
        <v>976</v>
      </c>
      <c r="AW19" s="7" t="s">
        <v>977</v>
      </c>
      <c r="AY19" s="7" t="s">
        <v>972</v>
      </c>
      <c r="AZ19" s="7">
        <v>0</v>
      </c>
      <c r="BA19" s="7" t="s">
        <v>1334</v>
      </c>
      <c r="BC19" s="7" t="s">
        <v>1335</v>
      </c>
      <c r="BE19" s="7" t="s">
        <v>1260</v>
      </c>
      <c r="BG19" s="7" t="s">
        <v>1191</v>
      </c>
      <c r="BH19" s="7">
        <v>0</v>
      </c>
      <c r="BI19" s="7">
        <v>180</v>
      </c>
      <c r="BJ19" s="7" t="s">
        <v>1284</v>
      </c>
      <c r="BM19" s="9"/>
      <c r="BN19" s="7" t="s">
        <v>1360</v>
      </c>
      <c r="BP19" s="9">
        <v>0.67</v>
      </c>
      <c r="BS19" s="7" t="s">
        <v>1336</v>
      </c>
      <c r="BW19" s="7" t="s">
        <v>982</v>
      </c>
      <c r="CC19" s="7" t="s">
        <v>976</v>
      </c>
      <c r="CE19" s="7" t="s">
        <v>1168</v>
      </c>
    </row>
    <row r="20" spans="1:84" ht="25.5" x14ac:dyDescent="0.2">
      <c r="A20" s="6" t="s">
        <v>961</v>
      </c>
      <c r="B20" s="7" t="s">
        <v>972</v>
      </c>
      <c r="C20" s="7" t="s">
        <v>1338</v>
      </c>
      <c r="D20" s="7" t="s">
        <v>973</v>
      </c>
      <c r="I20" s="7" t="s">
        <v>976</v>
      </c>
      <c r="K20" s="7" t="s">
        <v>977</v>
      </c>
      <c r="M20" s="7" t="s">
        <v>972</v>
      </c>
      <c r="N20" s="7">
        <v>0</v>
      </c>
      <c r="O20" s="7" t="s">
        <v>1260</v>
      </c>
      <c r="Q20" s="7" t="s">
        <v>1191</v>
      </c>
      <c r="R20" s="7">
        <v>0</v>
      </c>
      <c r="S20" s="7">
        <v>0</v>
      </c>
      <c r="T20" s="7" t="s">
        <v>994</v>
      </c>
      <c r="AA20" s="7" t="s">
        <v>1390</v>
      </c>
      <c r="AB20" s="7" t="s">
        <v>1391</v>
      </c>
      <c r="AC20" s="7">
        <v>182</v>
      </c>
      <c r="AD20" s="7" t="s">
        <v>982</v>
      </c>
      <c r="AJ20" s="7" t="s">
        <v>976</v>
      </c>
      <c r="AL20" s="7" t="s">
        <v>1392</v>
      </c>
      <c r="AM20" s="7" t="s">
        <v>972</v>
      </c>
      <c r="AN20" s="7" t="s">
        <v>1333</v>
      </c>
      <c r="AP20" s="7" t="s">
        <v>1003</v>
      </c>
      <c r="AR20" s="7" t="s">
        <v>1166</v>
      </c>
      <c r="AU20" s="7" t="s">
        <v>976</v>
      </c>
      <c r="AW20" s="7" t="s">
        <v>977</v>
      </c>
      <c r="AY20" s="7" t="s">
        <v>972</v>
      </c>
      <c r="AZ20" s="7">
        <v>0</v>
      </c>
      <c r="BA20" s="7" t="s">
        <v>1334</v>
      </c>
      <c r="BC20" s="7" t="s">
        <v>1335</v>
      </c>
      <c r="BE20" s="7" t="s">
        <v>1296</v>
      </c>
      <c r="BG20" s="7" t="s">
        <v>1191</v>
      </c>
      <c r="BH20" s="7">
        <v>0</v>
      </c>
      <c r="BI20" s="7">
        <v>182</v>
      </c>
      <c r="BJ20" s="7" t="s">
        <v>1284</v>
      </c>
      <c r="BP20" s="9">
        <v>0.7</v>
      </c>
      <c r="BS20" s="7" t="s">
        <v>1336</v>
      </c>
      <c r="BW20" s="7" t="s">
        <v>982</v>
      </c>
      <c r="CC20" s="7" t="s">
        <v>976</v>
      </c>
      <c r="CE20" s="7" t="s">
        <v>1168</v>
      </c>
    </row>
    <row r="21" spans="1:84" s="14" customFormat="1" ht="25.5" x14ac:dyDescent="0.2">
      <c r="A21" s="6" t="s">
        <v>939</v>
      </c>
      <c r="B21" s="7" t="s">
        <v>972</v>
      </c>
      <c r="C21" s="7" t="s">
        <v>1347</v>
      </c>
      <c r="D21" s="7" t="s">
        <v>973</v>
      </c>
      <c r="E21" s="7"/>
      <c r="F21" s="7"/>
      <c r="G21" s="7"/>
      <c r="H21" s="7"/>
      <c r="I21" s="7" t="s">
        <v>976</v>
      </c>
      <c r="J21" s="7"/>
      <c r="K21" s="7" t="s">
        <v>977</v>
      </c>
      <c r="L21" s="7"/>
      <c r="M21" s="7" t="s">
        <v>972</v>
      </c>
      <c r="N21" s="7">
        <v>1</v>
      </c>
      <c r="O21" s="7" t="s">
        <v>1296</v>
      </c>
      <c r="P21" s="7"/>
      <c r="Q21" s="7" t="s">
        <v>1191</v>
      </c>
      <c r="R21" s="7">
        <v>0</v>
      </c>
      <c r="S21" s="7">
        <v>0</v>
      </c>
      <c r="T21" s="7" t="s">
        <v>1261</v>
      </c>
      <c r="U21" s="7"/>
      <c r="V21" s="7"/>
      <c r="W21" s="7">
        <v>1</v>
      </c>
      <c r="X21" s="7" t="s">
        <v>1360</v>
      </c>
      <c r="Y21" s="7"/>
      <c r="Z21" s="7"/>
      <c r="AA21" s="7"/>
      <c r="AB21" s="7"/>
      <c r="AC21" s="7">
        <v>182</v>
      </c>
      <c r="AD21" s="7" t="s">
        <v>982</v>
      </c>
      <c r="AE21" s="7"/>
      <c r="AF21" s="7"/>
      <c r="AG21" s="7"/>
      <c r="AH21" s="7"/>
      <c r="AI21" s="7"/>
      <c r="AJ21" s="7" t="s">
        <v>976</v>
      </c>
      <c r="AK21" s="7"/>
      <c r="AL21" s="7" t="s">
        <v>1368</v>
      </c>
      <c r="AM21" s="7" t="s">
        <v>972</v>
      </c>
      <c r="AN21" s="7" t="s">
        <v>1333</v>
      </c>
      <c r="AO21" s="7"/>
      <c r="AP21" s="7" t="s">
        <v>1003</v>
      </c>
      <c r="AQ21" s="7"/>
      <c r="AR21" s="7" t="s">
        <v>1166</v>
      </c>
      <c r="AS21" s="7"/>
      <c r="AT21" s="7"/>
      <c r="AU21" s="7" t="s">
        <v>976</v>
      </c>
      <c r="AV21" s="7"/>
      <c r="AW21" s="7" t="s">
        <v>977</v>
      </c>
      <c r="AX21" s="7"/>
      <c r="AY21" s="7" t="s">
        <v>972</v>
      </c>
      <c r="AZ21" s="7">
        <v>1</v>
      </c>
      <c r="BA21" s="7" t="s">
        <v>1369</v>
      </c>
      <c r="BB21" s="7"/>
      <c r="BC21" s="7" t="s">
        <v>1342</v>
      </c>
      <c r="BD21" s="7"/>
      <c r="BE21" s="7" t="s">
        <v>1370</v>
      </c>
      <c r="BF21" s="7"/>
      <c r="BG21" s="7" t="s">
        <v>1191</v>
      </c>
      <c r="BH21" s="7">
        <v>181</v>
      </c>
      <c r="BI21" s="7">
        <v>60</v>
      </c>
      <c r="BJ21" s="7" t="s">
        <v>1284</v>
      </c>
      <c r="BK21" s="7"/>
      <c r="BL21" s="8"/>
      <c r="BM21" s="7"/>
      <c r="BN21" s="7"/>
      <c r="BO21" s="7"/>
      <c r="BP21" s="30">
        <v>0.5</v>
      </c>
      <c r="BQ21" s="7"/>
      <c r="BR21" s="8"/>
      <c r="BS21" s="7" t="s">
        <v>1344</v>
      </c>
      <c r="BT21" s="7"/>
      <c r="BU21" s="7">
        <v>36</v>
      </c>
      <c r="BV21" s="7"/>
      <c r="BW21" s="7" t="s">
        <v>982</v>
      </c>
      <c r="BX21" s="7"/>
      <c r="BY21" s="7"/>
      <c r="BZ21" s="7"/>
      <c r="CA21" s="7"/>
      <c r="CB21" s="7"/>
      <c r="CC21" s="7" t="s">
        <v>976</v>
      </c>
      <c r="CD21" s="7"/>
      <c r="CE21" s="7" t="s">
        <v>1268</v>
      </c>
      <c r="CF21" s="7"/>
    </row>
    <row r="22" spans="1:84" ht="38.25" x14ac:dyDescent="0.2">
      <c r="A22" s="6" t="s">
        <v>938</v>
      </c>
      <c r="B22" s="7" t="s">
        <v>972</v>
      </c>
      <c r="C22" s="7" t="s">
        <v>1338</v>
      </c>
      <c r="D22" s="7" t="s">
        <v>973</v>
      </c>
      <c r="I22" s="7" t="s">
        <v>976</v>
      </c>
      <c r="K22" s="7" t="s">
        <v>977</v>
      </c>
      <c r="M22" s="7" t="s">
        <v>972</v>
      </c>
      <c r="N22" s="7">
        <v>7</v>
      </c>
      <c r="O22" s="7" t="s">
        <v>1269</v>
      </c>
      <c r="Q22" s="7" t="s">
        <v>1191</v>
      </c>
      <c r="R22" s="7">
        <v>180</v>
      </c>
      <c r="S22" s="7">
        <v>0</v>
      </c>
      <c r="T22" s="7" t="s">
        <v>994</v>
      </c>
      <c r="AA22" s="7" t="s">
        <v>3403</v>
      </c>
      <c r="AB22" s="7" t="s">
        <v>1025</v>
      </c>
      <c r="AC22" s="7">
        <v>180</v>
      </c>
      <c r="AD22" s="7" t="s">
        <v>982</v>
      </c>
      <c r="AJ22" s="7" t="s">
        <v>976</v>
      </c>
      <c r="AL22" s="7" t="s">
        <v>1367</v>
      </c>
      <c r="AM22" s="7" t="s">
        <v>972</v>
      </c>
      <c r="AN22" s="7" t="s">
        <v>1333</v>
      </c>
      <c r="AP22" s="7" t="s">
        <v>1003</v>
      </c>
      <c r="AR22" s="7" t="s">
        <v>1166</v>
      </c>
      <c r="AU22" s="7" t="s">
        <v>976</v>
      </c>
      <c r="AW22" s="7" t="s">
        <v>977</v>
      </c>
      <c r="AY22" s="7" t="s">
        <v>972</v>
      </c>
      <c r="AZ22" s="7">
        <v>7</v>
      </c>
      <c r="BA22" s="7" t="s">
        <v>1334</v>
      </c>
      <c r="BC22" s="7" t="s">
        <v>1335</v>
      </c>
      <c r="BE22" s="7" t="s">
        <v>1260</v>
      </c>
      <c r="BG22" s="7" t="s">
        <v>1191</v>
      </c>
      <c r="BH22" s="7">
        <v>0</v>
      </c>
      <c r="BI22" s="7">
        <v>180</v>
      </c>
      <c r="BJ22" s="7" t="s">
        <v>1284</v>
      </c>
      <c r="BP22" s="9">
        <v>0.75</v>
      </c>
      <c r="BR22" s="8">
        <v>186000</v>
      </c>
      <c r="BS22" s="7" t="s">
        <v>1336</v>
      </c>
      <c r="BW22" s="7" t="s">
        <v>982</v>
      </c>
      <c r="CC22" s="7" t="s">
        <v>976</v>
      </c>
      <c r="CE22" s="7" t="s">
        <v>990</v>
      </c>
      <c r="CF22" s="7" t="s">
        <v>1275</v>
      </c>
    </row>
    <row r="23" spans="1:84" ht="25.5" x14ac:dyDescent="0.2">
      <c r="A23" s="6" t="s">
        <v>947</v>
      </c>
      <c r="B23" s="7" t="s">
        <v>972</v>
      </c>
      <c r="C23" s="7" t="s">
        <v>1347</v>
      </c>
      <c r="D23" s="7" t="s">
        <v>990</v>
      </c>
      <c r="E23" s="7" t="s">
        <v>1379</v>
      </c>
      <c r="I23" s="7" t="s">
        <v>976</v>
      </c>
      <c r="K23" s="7" t="s">
        <v>977</v>
      </c>
      <c r="M23" s="7" t="s">
        <v>972</v>
      </c>
      <c r="O23" s="7" t="s">
        <v>1260</v>
      </c>
      <c r="Q23" s="7" t="s">
        <v>1191</v>
      </c>
      <c r="R23" s="7">
        <v>0</v>
      </c>
      <c r="T23" s="7" t="s">
        <v>1284</v>
      </c>
      <c r="Z23" s="9">
        <v>1</v>
      </c>
      <c r="AC23" s="7">
        <v>182</v>
      </c>
      <c r="AD23" s="7" t="s">
        <v>982</v>
      </c>
      <c r="AJ23" s="7" t="s">
        <v>976</v>
      </c>
      <c r="AM23" s="7" t="s">
        <v>972</v>
      </c>
      <c r="AN23" s="7" t="s">
        <v>1333</v>
      </c>
      <c r="AP23" s="7" t="s">
        <v>1003</v>
      </c>
      <c r="AR23" s="7" t="s">
        <v>1166</v>
      </c>
      <c r="AU23" s="7" t="s">
        <v>976</v>
      </c>
      <c r="AW23" s="7" t="s">
        <v>977</v>
      </c>
      <c r="AY23" s="7" t="s">
        <v>1023</v>
      </c>
      <c r="BA23" s="7" t="s">
        <v>1334</v>
      </c>
      <c r="BC23" s="7" t="s">
        <v>1335</v>
      </c>
      <c r="BE23" s="7" t="s">
        <v>1260</v>
      </c>
      <c r="BG23" s="7" t="s">
        <v>1191</v>
      </c>
      <c r="BH23" s="7">
        <v>182</v>
      </c>
      <c r="BI23" s="7">
        <v>182</v>
      </c>
      <c r="BJ23" s="7" t="s">
        <v>1284</v>
      </c>
      <c r="BN23" s="7" t="s">
        <v>1354</v>
      </c>
      <c r="BP23" s="9">
        <v>0.5</v>
      </c>
      <c r="BS23" s="7" t="s">
        <v>1336</v>
      </c>
      <c r="BW23" s="7" t="s">
        <v>982</v>
      </c>
      <c r="CC23" s="7" t="s">
        <v>976</v>
      </c>
      <c r="CE23" s="7" t="s">
        <v>1268</v>
      </c>
    </row>
    <row r="24" spans="1:84" ht="38.25" x14ac:dyDescent="0.2">
      <c r="A24" s="6" t="s">
        <v>937</v>
      </c>
      <c r="B24" s="7" t="s">
        <v>972</v>
      </c>
      <c r="K24" s="7" t="s">
        <v>977</v>
      </c>
      <c r="M24" s="7" t="s">
        <v>972</v>
      </c>
      <c r="AJ24" s="7" t="s">
        <v>976</v>
      </c>
      <c r="AM24" s="7" t="s">
        <v>972</v>
      </c>
      <c r="AN24" s="7" t="s">
        <v>990</v>
      </c>
      <c r="AO24" s="7" t="s">
        <v>1365</v>
      </c>
      <c r="AP24" s="7" t="s">
        <v>1003</v>
      </c>
      <c r="AU24" s="7" t="s">
        <v>972</v>
      </c>
      <c r="AV24" s="7">
        <v>1</v>
      </c>
      <c r="AW24" s="7" t="s">
        <v>977</v>
      </c>
      <c r="AY24" s="7" t="s">
        <v>972</v>
      </c>
      <c r="BA24" s="7" t="s">
        <v>1334</v>
      </c>
      <c r="BC24" s="7" t="s">
        <v>1335</v>
      </c>
      <c r="BE24" s="7" t="s">
        <v>1260</v>
      </c>
      <c r="BG24" s="7" t="s">
        <v>1191</v>
      </c>
      <c r="BH24" s="7">
        <v>0</v>
      </c>
      <c r="BI24" s="7">
        <v>182</v>
      </c>
      <c r="BJ24" s="7" t="s">
        <v>994</v>
      </c>
      <c r="BQ24" s="7" t="s">
        <v>1366</v>
      </c>
      <c r="BS24" s="7" t="s">
        <v>1344</v>
      </c>
      <c r="BW24" s="7" t="s">
        <v>982</v>
      </c>
      <c r="CC24" s="7" t="s">
        <v>976</v>
      </c>
      <c r="CE24" s="7" t="s">
        <v>1168</v>
      </c>
    </row>
    <row r="25" spans="1:84" x14ac:dyDescent="0.2">
      <c r="A25" s="6" t="s">
        <v>949</v>
      </c>
      <c r="B25" s="7" t="s">
        <v>972</v>
      </c>
      <c r="C25" s="7" t="s">
        <v>1347</v>
      </c>
      <c r="D25" s="7" t="s">
        <v>973</v>
      </c>
      <c r="I25" s="7" t="s">
        <v>976</v>
      </c>
      <c r="K25" s="7" t="s">
        <v>977</v>
      </c>
      <c r="M25" s="7" t="s">
        <v>972</v>
      </c>
      <c r="N25" s="7">
        <v>1</v>
      </c>
      <c r="O25" s="7" t="s">
        <v>1260</v>
      </c>
      <c r="Q25" s="7" t="s">
        <v>1156</v>
      </c>
      <c r="R25" s="7">
        <v>0</v>
      </c>
      <c r="S25" s="7">
        <v>0</v>
      </c>
      <c r="T25" s="7" t="s">
        <v>1284</v>
      </c>
      <c r="Z25" s="9">
        <v>1</v>
      </c>
      <c r="AB25" s="8">
        <v>350000</v>
      </c>
      <c r="AC25" s="7">
        <v>91</v>
      </c>
      <c r="AD25" s="7" t="s">
        <v>982</v>
      </c>
      <c r="AJ25" s="7" t="s">
        <v>976</v>
      </c>
      <c r="AL25" s="7" t="s">
        <v>1168</v>
      </c>
      <c r="AM25" s="7" t="s">
        <v>972</v>
      </c>
      <c r="AN25" s="7" t="s">
        <v>1333</v>
      </c>
      <c r="AP25" s="7" t="s">
        <v>973</v>
      </c>
      <c r="AU25" s="7" t="s">
        <v>976</v>
      </c>
      <c r="AW25" s="7" t="s">
        <v>977</v>
      </c>
      <c r="AY25" s="7" t="s">
        <v>972</v>
      </c>
      <c r="AZ25" s="7">
        <v>1</v>
      </c>
      <c r="BA25" s="7" t="s">
        <v>1334</v>
      </c>
      <c r="BC25" s="7" t="s">
        <v>1335</v>
      </c>
      <c r="BE25" s="7" t="s">
        <v>1260</v>
      </c>
      <c r="BG25" s="7" t="s">
        <v>1156</v>
      </c>
      <c r="BH25" s="7">
        <v>0</v>
      </c>
      <c r="BJ25" s="7" t="s">
        <v>1284</v>
      </c>
      <c r="BP25" s="9">
        <v>0.75</v>
      </c>
      <c r="BR25" s="8">
        <v>35000</v>
      </c>
      <c r="BS25" s="7" t="s">
        <v>1336</v>
      </c>
      <c r="BW25" s="7" t="s">
        <v>982</v>
      </c>
      <c r="CC25" s="7" t="s">
        <v>976</v>
      </c>
      <c r="CE25" s="7" t="s">
        <v>1168</v>
      </c>
    </row>
    <row r="26" spans="1:84" ht="25.5" x14ac:dyDescent="0.2">
      <c r="A26" s="6" t="s">
        <v>963</v>
      </c>
      <c r="B26" s="7" t="s">
        <v>972</v>
      </c>
      <c r="C26" s="7" t="s">
        <v>1347</v>
      </c>
      <c r="D26" s="7" t="s">
        <v>973</v>
      </c>
      <c r="I26" s="7" t="s">
        <v>976</v>
      </c>
      <c r="K26" s="7" t="s">
        <v>977</v>
      </c>
      <c r="M26" s="7" t="s">
        <v>972</v>
      </c>
      <c r="N26" s="7">
        <v>10</v>
      </c>
      <c r="O26" s="7" t="s">
        <v>3565</v>
      </c>
      <c r="Q26" s="7" t="s">
        <v>1191</v>
      </c>
      <c r="R26" s="7">
        <v>0</v>
      </c>
      <c r="S26" s="7">
        <v>1</v>
      </c>
      <c r="T26" s="7" t="s">
        <v>1284</v>
      </c>
      <c r="X26" s="7" t="s">
        <v>1354</v>
      </c>
      <c r="Z26" s="9">
        <v>0.75</v>
      </c>
      <c r="AC26" s="7">
        <v>178</v>
      </c>
      <c r="AD26" s="7" t="s">
        <v>982</v>
      </c>
      <c r="AJ26" s="7" t="s">
        <v>976</v>
      </c>
      <c r="AL26" s="7" t="s">
        <v>1329</v>
      </c>
      <c r="AM26" s="7" t="s">
        <v>972</v>
      </c>
      <c r="AN26" s="7" t="s">
        <v>1333</v>
      </c>
      <c r="AP26" s="7" t="s">
        <v>1003</v>
      </c>
      <c r="AR26" s="7" t="s">
        <v>1166</v>
      </c>
      <c r="AU26" s="7" t="s">
        <v>976</v>
      </c>
      <c r="AW26" s="7" t="s">
        <v>977</v>
      </c>
      <c r="AY26" s="7" t="s">
        <v>972</v>
      </c>
      <c r="AZ26" s="7">
        <v>10</v>
      </c>
      <c r="BA26" s="7" t="s">
        <v>1334</v>
      </c>
      <c r="BC26" s="7" t="s">
        <v>1335</v>
      </c>
      <c r="BE26" s="7" t="s">
        <v>1296</v>
      </c>
      <c r="BG26" s="7" t="s">
        <v>1191</v>
      </c>
      <c r="BH26" s="7">
        <v>0</v>
      </c>
      <c r="BI26" s="7">
        <v>178</v>
      </c>
      <c r="BJ26" s="7" t="s">
        <v>1284</v>
      </c>
      <c r="BP26" s="9">
        <v>0.75</v>
      </c>
      <c r="BR26" s="8">
        <v>425000</v>
      </c>
      <c r="BS26" s="7" t="s">
        <v>1336</v>
      </c>
      <c r="BW26" s="7" t="s">
        <v>982</v>
      </c>
      <c r="CC26" s="7" t="s">
        <v>976</v>
      </c>
      <c r="CE26" s="7" t="s">
        <v>990</v>
      </c>
      <c r="CF26" s="7" t="s">
        <v>1309</v>
      </c>
    </row>
    <row r="27" spans="1:84" x14ac:dyDescent="0.2">
      <c r="A27" s="6" t="s">
        <v>913</v>
      </c>
      <c r="B27" s="7" t="s">
        <v>972</v>
      </c>
      <c r="C27" s="7" t="s">
        <v>1338</v>
      </c>
      <c r="D27" s="7" t="s">
        <v>973</v>
      </c>
      <c r="I27" s="7" t="s">
        <v>976</v>
      </c>
      <c r="K27" s="7" t="s">
        <v>977</v>
      </c>
      <c r="M27" s="7" t="s">
        <v>972</v>
      </c>
      <c r="N27" s="7">
        <v>10</v>
      </c>
      <c r="O27" s="7" t="s">
        <v>1269</v>
      </c>
      <c r="Q27" s="7" t="s">
        <v>1191</v>
      </c>
      <c r="R27" s="7">
        <v>90</v>
      </c>
      <c r="S27" s="7">
        <v>0</v>
      </c>
      <c r="T27" s="7" t="s">
        <v>1284</v>
      </c>
      <c r="Z27" s="9">
        <v>1</v>
      </c>
      <c r="AC27" s="7">
        <v>182</v>
      </c>
      <c r="AD27" s="7" t="s">
        <v>982</v>
      </c>
      <c r="AJ27" s="7" t="s">
        <v>976</v>
      </c>
      <c r="AL27" s="7" t="s">
        <v>1328</v>
      </c>
      <c r="AM27" s="7" t="s">
        <v>972</v>
      </c>
      <c r="AN27" s="7" t="s">
        <v>1333</v>
      </c>
      <c r="AP27" s="7" t="s">
        <v>973</v>
      </c>
      <c r="AU27" s="7" t="s">
        <v>976</v>
      </c>
      <c r="AW27" s="7" t="s">
        <v>977</v>
      </c>
      <c r="AY27" s="7" t="s">
        <v>972</v>
      </c>
      <c r="AZ27" s="7">
        <v>10</v>
      </c>
      <c r="BA27" s="7" t="s">
        <v>1334</v>
      </c>
      <c r="BC27" s="7" t="s">
        <v>1335</v>
      </c>
      <c r="BE27" s="7" t="s">
        <v>1269</v>
      </c>
      <c r="BG27" s="7" t="s">
        <v>1191</v>
      </c>
      <c r="BH27" s="7">
        <v>0</v>
      </c>
      <c r="BI27" s="7">
        <v>365</v>
      </c>
      <c r="BJ27" s="7" t="s">
        <v>1284</v>
      </c>
      <c r="BP27" s="9">
        <v>0.75</v>
      </c>
      <c r="BS27" s="7" t="s">
        <v>990</v>
      </c>
      <c r="BT27" s="7" t="s">
        <v>1339</v>
      </c>
      <c r="BW27" s="7" t="s">
        <v>982</v>
      </c>
      <c r="CC27" s="7" t="s">
        <v>976</v>
      </c>
      <c r="CE27" s="7" t="s">
        <v>990</v>
      </c>
      <c r="CF27" s="7" t="s">
        <v>1176</v>
      </c>
    </row>
    <row r="28" spans="1:84" x14ac:dyDescent="0.2">
      <c r="A28" s="6" t="s">
        <v>931</v>
      </c>
      <c r="B28" s="7" t="s">
        <v>972</v>
      </c>
      <c r="C28" s="7" t="s">
        <v>1338</v>
      </c>
      <c r="D28" s="7" t="s">
        <v>973</v>
      </c>
      <c r="I28" s="7" t="s">
        <v>976</v>
      </c>
      <c r="K28" s="7" t="s">
        <v>977</v>
      </c>
      <c r="M28" s="7" t="s">
        <v>972</v>
      </c>
      <c r="N28" s="7">
        <v>1</v>
      </c>
      <c r="O28" s="7" t="s">
        <v>1260</v>
      </c>
      <c r="Q28" s="7" t="s">
        <v>1191</v>
      </c>
      <c r="R28" s="7">
        <v>0</v>
      </c>
      <c r="S28" s="7">
        <v>0</v>
      </c>
      <c r="T28" s="7" t="s">
        <v>1261</v>
      </c>
      <c r="W28" s="7">
        <v>1</v>
      </c>
      <c r="X28" s="7" t="s">
        <v>1354</v>
      </c>
      <c r="AC28" s="7">
        <v>180</v>
      </c>
      <c r="AD28" s="7" t="s">
        <v>982</v>
      </c>
      <c r="AJ28" s="7" t="s">
        <v>976</v>
      </c>
      <c r="AM28" s="7" t="s">
        <v>972</v>
      </c>
      <c r="AN28" s="7" t="s">
        <v>1333</v>
      </c>
      <c r="AP28" s="7" t="s">
        <v>1003</v>
      </c>
      <c r="AR28" s="7" t="s">
        <v>1166</v>
      </c>
      <c r="AU28" s="7" t="s">
        <v>976</v>
      </c>
      <c r="AW28" s="7" t="s">
        <v>977</v>
      </c>
      <c r="AY28" s="7" t="s">
        <v>972</v>
      </c>
      <c r="AZ28" s="7">
        <v>1</v>
      </c>
      <c r="BA28" s="7" t="s">
        <v>1340</v>
      </c>
      <c r="BC28" s="7" t="s">
        <v>1335</v>
      </c>
      <c r="BE28" s="7" t="s">
        <v>1260</v>
      </c>
      <c r="BG28" s="7" t="s">
        <v>1191</v>
      </c>
      <c r="BH28" s="7">
        <v>0</v>
      </c>
      <c r="BI28" s="7">
        <v>180</v>
      </c>
      <c r="BJ28" s="7" t="s">
        <v>1284</v>
      </c>
      <c r="BP28" s="9">
        <v>0.6</v>
      </c>
      <c r="BS28" s="7" t="s">
        <v>1336</v>
      </c>
      <c r="BW28" s="7" t="s">
        <v>982</v>
      </c>
      <c r="CC28" s="7" t="s">
        <v>976</v>
      </c>
      <c r="CE28" s="7" t="s">
        <v>1268</v>
      </c>
    </row>
    <row r="29" spans="1:84" x14ac:dyDescent="0.2">
      <c r="A29" s="6" t="s">
        <v>966</v>
      </c>
      <c r="B29" s="7" t="s">
        <v>976</v>
      </c>
      <c r="AM29" s="7" t="s">
        <v>972</v>
      </c>
      <c r="AN29" s="7" t="s">
        <v>1333</v>
      </c>
      <c r="AP29" s="7" t="s">
        <v>1003</v>
      </c>
      <c r="AR29" s="7" t="s">
        <v>1166</v>
      </c>
      <c r="AU29" s="7" t="s">
        <v>976</v>
      </c>
      <c r="AW29" s="7" t="s">
        <v>977</v>
      </c>
      <c r="AY29" s="7" t="s">
        <v>972</v>
      </c>
      <c r="AZ29" s="7">
        <v>0</v>
      </c>
      <c r="BA29" s="7" t="s">
        <v>1334</v>
      </c>
      <c r="BC29" s="7" t="s">
        <v>1335</v>
      </c>
      <c r="BE29" s="7" t="s">
        <v>1260</v>
      </c>
      <c r="BG29" s="7" t="s">
        <v>1191</v>
      </c>
      <c r="BH29" s="7">
        <v>0</v>
      </c>
      <c r="BI29" s="7">
        <v>182</v>
      </c>
      <c r="BJ29" s="7" t="s">
        <v>1284</v>
      </c>
      <c r="BP29" s="30">
        <v>0.5</v>
      </c>
      <c r="BS29" s="7" t="s">
        <v>990</v>
      </c>
      <c r="BT29" s="7" t="s">
        <v>1339</v>
      </c>
      <c r="BW29" s="7" t="s">
        <v>982</v>
      </c>
      <c r="CC29" s="7" t="s">
        <v>976</v>
      </c>
      <c r="CE29" s="7" t="s">
        <v>1008</v>
      </c>
    </row>
    <row r="30" spans="1:84" x14ac:dyDescent="0.2">
      <c r="A30" s="6" t="s">
        <v>917</v>
      </c>
      <c r="B30" s="7" t="s">
        <v>972</v>
      </c>
      <c r="C30" s="7" t="s">
        <v>1338</v>
      </c>
      <c r="D30" s="7" t="s">
        <v>973</v>
      </c>
      <c r="I30" s="7" t="s">
        <v>976</v>
      </c>
      <c r="K30" s="7" t="s">
        <v>977</v>
      </c>
      <c r="M30" s="7" t="s">
        <v>972</v>
      </c>
      <c r="N30" s="7">
        <v>0</v>
      </c>
      <c r="O30" s="7" t="s">
        <v>1279</v>
      </c>
      <c r="Q30" s="7" t="s">
        <v>1191</v>
      </c>
      <c r="R30" s="7">
        <v>0</v>
      </c>
      <c r="S30" s="7">
        <v>0</v>
      </c>
      <c r="T30" s="7" t="s">
        <v>1284</v>
      </c>
      <c r="Z30" s="9">
        <v>1</v>
      </c>
      <c r="AC30" s="7">
        <v>196</v>
      </c>
      <c r="AD30" s="7" t="s">
        <v>982</v>
      </c>
      <c r="AJ30" s="7" t="s">
        <v>976</v>
      </c>
      <c r="AM30" s="7" t="s">
        <v>972</v>
      </c>
      <c r="AN30" s="7" t="s">
        <v>1333</v>
      </c>
      <c r="AP30" s="7" t="s">
        <v>973</v>
      </c>
      <c r="AU30" s="7" t="s">
        <v>976</v>
      </c>
      <c r="AW30" s="7" t="s">
        <v>977</v>
      </c>
      <c r="AY30" s="7" t="s">
        <v>972</v>
      </c>
      <c r="AZ30" s="7">
        <v>0</v>
      </c>
      <c r="BA30" s="7" t="s">
        <v>1334</v>
      </c>
      <c r="BC30" s="7" t="s">
        <v>1335</v>
      </c>
      <c r="BE30" s="7" t="s">
        <v>1260</v>
      </c>
      <c r="BG30" s="7" t="s">
        <v>1191</v>
      </c>
      <c r="BH30" s="7">
        <v>0</v>
      </c>
      <c r="BJ30" s="7" t="s">
        <v>1284</v>
      </c>
      <c r="BP30" s="30">
        <v>0.5</v>
      </c>
      <c r="BS30" s="7" t="s">
        <v>1344</v>
      </c>
      <c r="BU30" s="7">
        <v>60</v>
      </c>
      <c r="BW30" s="7" t="s">
        <v>982</v>
      </c>
      <c r="CC30" s="7" t="s">
        <v>976</v>
      </c>
      <c r="CE30" s="7" t="s">
        <v>990</v>
      </c>
      <c r="CF30" s="7" t="s">
        <v>1176</v>
      </c>
    </row>
    <row r="31" spans="1:84" x14ac:dyDescent="0.2">
      <c r="A31" s="6" t="s">
        <v>923</v>
      </c>
      <c r="B31" s="7" t="s">
        <v>976</v>
      </c>
      <c r="AM31" s="7" t="s">
        <v>972</v>
      </c>
      <c r="AN31" s="7" t="s">
        <v>1333</v>
      </c>
      <c r="AP31" s="7" t="s">
        <v>1003</v>
      </c>
      <c r="AR31" s="7" t="s">
        <v>1166</v>
      </c>
      <c r="AU31" s="7" t="s">
        <v>976</v>
      </c>
      <c r="AW31" s="7" t="s">
        <v>977</v>
      </c>
      <c r="AY31" s="7" t="s">
        <v>972</v>
      </c>
      <c r="AZ31" s="7">
        <v>1</v>
      </c>
      <c r="BA31" s="7" t="s">
        <v>1348</v>
      </c>
      <c r="BC31" s="7" t="s">
        <v>990</v>
      </c>
      <c r="BD31" s="7" t="s">
        <v>971</v>
      </c>
      <c r="BE31" s="7" t="s">
        <v>990</v>
      </c>
      <c r="BF31" s="7" t="s">
        <v>1349</v>
      </c>
      <c r="BG31" s="7" t="s">
        <v>1191</v>
      </c>
      <c r="BH31" s="7">
        <v>0</v>
      </c>
      <c r="BI31" s="7">
        <v>182</v>
      </c>
      <c r="BJ31" s="7" t="s">
        <v>1284</v>
      </c>
      <c r="BP31" s="9">
        <v>0.75</v>
      </c>
      <c r="BR31" s="8">
        <v>400000</v>
      </c>
      <c r="BS31" s="7" t="s">
        <v>1336</v>
      </c>
      <c r="BW31" s="7" t="s">
        <v>982</v>
      </c>
      <c r="CC31" s="7" t="s">
        <v>976</v>
      </c>
      <c r="CE31" s="7" t="s">
        <v>990</v>
      </c>
      <c r="CF31" s="7" t="s">
        <v>1282</v>
      </c>
    </row>
    <row r="32" spans="1:84" ht="25.5" x14ac:dyDescent="0.2">
      <c r="A32" s="6" t="s">
        <v>935</v>
      </c>
      <c r="B32" s="7" t="s">
        <v>972</v>
      </c>
      <c r="C32" s="7" t="s">
        <v>1347</v>
      </c>
      <c r="D32" s="7" t="s">
        <v>990</v>
      </c>
      <c r="E32" s="7" t="s">
        <v>1361</v>
      </c>
      <c r="I32" s="7" t="s">
        <v>976</v>
      </c>
      <c r="K32" s="7" t="s">
        <v>977</v>
      </c>
      <c r="M32" s="7" t="s">
        <v>972</v>
      </c>
      <c r="N32" s="7">
        <v>0</v>
      </c>
      <c r="Q32" s="7" t="s">
        <v>1191</v>
      </c>
      <c r="R32" s="7">
        <v>0</v>
      </c>
      <c r="S32" s="7">
        <v>0</v>
      </c>
      <c r="T32" s="7" t="s">
        <v>994</v>
      </c>
      <c r="AA32" s="7" t="s">
        <v>1362</v>
      </c>
      <c r="AB32" s="7" t="s">
        <v>1363</v>
      </c>
      <c r="AC32" s="7">
        <v>91</v>
      </c>
      <c r="AD32" s="7" t="s">
        <v>982</v>
      </c>
      <c r="AJ32" s="7" t="s">
        <v>976</v>
      </c>
      <c r="AL32" s="7" t="s">
        <v>1364</v>
      </c>
      <c r="AM32" s="7" t="s">
        <v>972</v>
      </c>
      <c r="AN32" s="7" t="s">
        <v>1333</v>
      </c>
      <c r="AP32" s="7" t="s">
        <v>1003</v>
      </c>
      <c r="AR32" s="7" t="s">
        <v>1166</v>
      </c>
      <c r="AU32" s="7" t="s">
        <v>976</v>
      </c>
      <c r="AW32" s="7" t="s">
        <v>977</v>
      </c>
      <c r="AY32" s="7" t="s">
        <v>972</v>
      </c>
      <c r="AZ32" s="7">
        <v>0</v>
      </c>
      <c r="BA32" s="7" t="s">
        <v>1334</v>
      </c>
      <c r="BC32" s="7" t="s">
        <v>1335</v>
      </c>
      <c r="BE32" s="7" t="s">
        <v>1279</v>
      </c>
      <c r="BG32" s="7" t="s">
        <v>1191</v>
      </c>
      <c r="BH32" s="7">
        <v>0</v>
      </c>
      <c r="BI32" s="7">
        <v>91</v>
      </c>
      <c r="BJ32" s="7" t="s">
        <v>1284</v>
      </c>
      <c r="BP32" s="9">
        <v>0.75</v>
      </c>
      <c r="BS32" s="7" t="s">
        <v>1336</v>
      </c>
      <c r="BW32" s="7" t="s">
        <v>982</v>
      </c>
      <c r="CC32" s="7" t="s">
        <v>976</v>
      </c>
      <c r="CE32" s="7" t="s">
        <v>1008</v>
      </c>
    </row>
    <row r="33" spans="1:84" x14ac:dyDescent="0.2">
      <c r="A33" s="6" t="s">
        <v>915</v>
      </c>
      <c r="B33" s="7" t="s">
        <v>976</v>
      </c>
      <c r="AM33" s="7" t="s">
        <v>972</v>
      </c>
      <c r="AN33" s="7" t="s">
        <v>1333</v>
      </c>
      <c r="AP33" s="7" t="s">
        <v>1003</v>
      </c>
      <c r="AR33" s="7" t="s">
        <v>1166</v>
      </c>
      <c r="AU33" s="7" t="s">
        <v>976</v>
      </c>
      <c r="AW33" s="7" t="s">
        <v>977</v>
      </c>
      <c r="AY33" s="7" t="s">
        <v>972</v>
      </c>
      <c r="AZ33" s="7">
        <v>1</v>
      </c>
      <c r="BA33" s="7" t="s">
        <v>1334</v>
      </c>
      <c r="BC33" s="7" t="s">
        <v>1342</v>
      </c>
      <c r="BE33" s="7" t="s">
        <v>1260</v>
      </c>
      <c r="BG33" s="7" t="s">
        <v>1191</v>
      </c>
      <c r="BH33" s="7">
        <v>1</v>
      </c>
      <c r="BI33" s="7">
        <v>91</v>
      </c>
      <c r="BJ33" s="7" t="s">
        <v>1284</v>
      </c>
      <c r="BP33" s="9">
        <v>0.66</v>
      </c>
      <c r="BR33" s="8">
        <v>150000</v>
      </c>
      <c r="BS33" s="7" t="s">
        <v>1336</v>
      </c>
      <c r="BW33" s="7" t="s">
        <v>982</v>
      </c>
      <c r="CC33" s="7" t="s">
        <v>976</v>
      </c>
      <c r="CE33" s="7" t="s">
        <v>1168</v>
      </c>
    </row>
    <row r="34" spans="1:84" x14ac:dyDescent="0.2">
      <c r="A34" s="6" t="s">
        <v>945</v>
      </c>
      <c r="B34" s="7" t="s">
        <v>972</v>
      </c>
      <c r="C34" s="7" t="s">
        <v>1338</v>
      </c>
      <c r="D34" s="7" t="s">
        <v>973</v>
      </c>
      <c r="I34" s="7" t="s">
        <v>976</v>
      </c>
      <c r="K34" s="7" t="s">
        <v>977</v>
      </c>
      <c r="M34" s="7" t="s">
        <v>972</v>
      </c>
      <c r="O34" s="7" t="s">
        <v>1260</v>
      </c>
      <c r="Q34" s="7" t="s">
        <v>1191</v>
      </c>
      <c r="R34" s="7">
        <v>0</v>
      </c>
      <c r="S34" s="7">
        <v>0</v>
      </c>
      <c r="T34" s="7" t="s">
        <v>1261</v>
      </c>
      <c r="W34" s="7">
        <v>1</v>
      </c>
      <c r="AA34" s="7" t="s">
        <v>1375</v>
      </c>
      <c r="AB34" s="7" t="s">
        <v>1376</v>
      </c>
      <c r="AC34" s="7">
        <v>182</v>
      </c>
      <c r="AD34" s="7" t="s">
        <v>982</v>
      </c>
      <c r="AJ34" s="7" t="s">
        <v>976</v>
      </c>
      <c r="AL34" s="7" t="s">
        <v>1377</v>
      </c>
      <c r="AM34" s="7" t="s">
        <v>972</v>
      </c>
      <c r="AN34" s="7" t="s">
        <v>1333</v>
      </c>
      <c r="AP34" s="7" t="s">
        <v>1003</v>
      </c>
      <c r="AR34" s="7" t="s">
        <v>1166</v>
      </c>
      <c r="AU34" s="7" t="s">
        <v>976</v>
      </c>
      <c r="AW34" s="7" t="s">
        <v>977</v>
      </c>
      <c r="AY34" s="7" t="s">
        <v>972</v>
      </c>
      <c r="BA34" s="7" t="s">
        <v>1334</v>
      </c>
      <c r="BC34" s="7" t="s">
        <v>1335</v>
      </c>
      <c r="BE34" s="7" t="s">
        <v>1260</v>
      </c>
      <c r="BG34" s="7" t="s">
        <v>1191</v>
      </c>
      <c r="BH34" s="7">
        <v>0</v>
      </c>
      <c r="BI34" s="7">
        <v>91</v>
      </c>
      <c r="BJ34" s="7" t="s">
        <v>1284</v>
      </c>
      <c r="BP34" s="29">
        <v>0.66669999999999996</v>
      </c>
      <c r="BS34" s="7" t="s">
        <v>990</v>
      </c>
      <c r="BT34" s="7" t="s">
        <v>1339</v>
      </c>
      <c r="BW34" s="7" t="s">
        <v>982</v>
      </c>
      <c r="CC34" s="7" t="s">
        <v>976</v>
      </c>
      <c r="CE34" s="7" t="s">
        <v>1268</v>
      </c>
    </row>
    <row r="35" spans="1:84" x14ac:dyDescent="0.2">
      <c r="A35" s="6" t="s">
        <v>924</v>
      </c>
      <c r="B35" s="7" t="s">
        <v>976</v>
      </c>
      <c r="AM35" s="7" t="s">
        <v>972</v>
      </c>
      <c r="AN35" s="7" t="s">
        <v>1333</v>
      </c>
      <c r="AP35" s="7" t="s">
        <v>1003</v>
      </c>
      <c r="AR35" s="7" t="s">
        <v>1166</v>
      </c>
      <c r="AU35" s="7" t="s">
        <v>976</v>
      </c>
      <c r="AW35" s="7" t="s">
        <v>977</v>
      </c>
      <c r="AY35" s="7" t="s">
        <v>976</v>
      </c>
      <c r="BA35" s="7" t="s">
        <v>1334</v>
      </c>
      <c r="BC35" s="7" t="s">
        <v>1342</v>
      </c>
      <c r="BE35" s="7" t="s">
        <v>1260</v>
      </c>
      <c r="BG35" s="7" t="s">
        <v>1191</v>
      </c>
      <c r="BH35" s="7">
        <v>0</v>
      </c>
      <c r="BI35" s="7">
        <v>180</v>
      </c>
      <c r="BJ35" s="7" t="s">
        <v>1284</v>
      </c>
      <c r="BP35" s="29">
        <v>0.66669999999999996</v>
      </c>
      <c r="BS35" s="7" t="s">
        <v>1336</v>
      </c>
      <c r="BW35" s="7" t="s">
        <v>982</v>
      </c>
      <c r="CC35" s="7" t="s">
        <v>976</v>
      </c>
      <c r="CE35" s="7" t="s">
        <v>1168</v>
      </c>
    </row>
    <row r="36" spans="1:84" x14ac:dyDescent="0.2">
      <c r="A36" s="6" t="s">
        <v>925</v>
      </c>
      <c r="B36" s="7" t="s">
        <v>976</v>
      </c>
      <c r="AM36" s="7" t="s">
        <v>972</v>
      </c>
      <c r="AN36" s="7" t="s">
        <v>1333</v>
      </c>
      <c r="AU36" s="7" t="s">
        <v>976</v>
      </c>
      <c r="AW36" s="7" t="s">
        <v>977</v>
      </c>
      <c r="AY36" s="7" t="s">
        <v>972</v>
      </c>
      <c r="BA36" s="7" t="s">
        <v>1334</v>
      </c>
      <c r="BC36" s="7" t="s">
        <v>990</v>
      </c>
      <c r="BD36" s="7" t="s">
        <v>1350</v>
      </c>
      <c r="BE36" s="7" t="s">
        <v>1260</v>
      </c>
      <c r="BG36" s="7" t="s">
        <v>1191</v>
      </c>
      <c r="BH36" s="7">
        <v>0</v>
      </c>
      <c r="BI36" s="7">
        <v>140</v>
      </c>
      <c r="BJ36" s="7" t="s">
        <v>1284</v>
      </c>
      <c r="BP36" s="9">
        <v>0.7</v>
      </c>
      <c r="BS36" s="7" t="s">
        <v>1336</v>
      </c>
      <c r="BW36" s="7" t="s">
        <v>982</v>
      </c>
      <c r="CC36" s="7" t="s">
        <v>976</v>
      </c>
      <c r="CE36" s="7" t="s">
        <v>1168</v>
      </c>
    </row>
    <row r="37" spans="1:84" x14ac:dyDescent="0.2">
      <c r="A37" s="6" t="s">
        <v>3376</v>
      </c>
      <c r="B37" s="10" t="s">
        <v>972</v>
      </c>
      <c r="C37" s="10" t="s">
        <v>1347</v>
      </c>
      <c r="D37" s="10" t="s">
        <v>973</v>
      </c>
      <c r="E37" s="10"/>
      <c r="F37" s="10"/>
      <c r="G37" s="10"/>
      <c r="H37" s="10"/>
      <c r="I37" s="10" t="s">
        <v>976</v>
      </c>
      <c r="J37" s="10"/>
      <c r="K37" s="10" t="s">
        <v>977</v>
      </c>
      <c r="L37" s="10"/>
      <c r="M37" s="10" t="s">
        <v>972</v>
      </c>
      <c r="N37" s="10">
        <v>20</v>
      </c>
      <c r="O37" s="10"/>
      <c r="P37" s="10"/>
      <c r="Q37" s="10" t="s">
        <v>1191</v>
      </c>
      <c r="R37" s="10">
        <v>0</v>
      </c>
      <c r="S37" s="10">
        <v>0</v>
      </c>
      <c r="T37" s="10" t="s">
        <v>1284</v>
      </c>
      <c r="U37" s="10"/>
      <c r="V37" s="10"/>
      <c r="W37" s="10"/>
      <c r="X37" s="10"/>
      <c r="Y37" s="10"/>
      <c r="Z37" s="9">
        <v>1</v>
      </c>
      <c r="AA37" s="10"/>
      <c r="AB37" s="10"/>
      <c r="AC37" s="10">
        <v>91</v>
      </c>
      <c r="AD37" s="10" t="s">
        <v>982</v>
      </c>
      <c r="AE37" s="10"/>
      <c r="AF37" s="10"/>
      <c r="AG37" s="10"/>
      <c r="AH37" s="10"/>
      <c r="AI37" s="10"/>
      <c r="AJ37" s="10" t="s">
        <v>976</v>
      </c>
      <c r="AK37" s="10"/>
      <c r="AL37" s="10" t="s">
        <v>1176</v>
      </c>
      <c r="AM37" s="10" t="s">
        <v>972</v>
      </c>
      <c r="AN37" s="10" t="s">
        <v>1333</v>
      </c>
      <c r="AO37" s="10"/>
      <c r="AP37" s="10" t="s">
        <v>1003</v>
      </c>
      <c r="AQ37" s="10"/>
      <c r="AR37" s="10" t="s">
        <v>1166</v>
      </c>
      <c r="AS37" s="10"/>
      <c r="AT37" s="10"/>
      <c r="AU37" s="10" t="s">
        <v>976</v>
      </c>
      <c r="AV37" s="10"/>
      <c r="AW37" s="10" t="s">
        <v>977</v>
      </c>
      <c r="AX37" s="10"/>
      <c r="AY37" s="10" t="s">
        <v>972</v>
      </c>
      <c r="AZ37" s="10">
        <v>20</v>
      </c>
      <c r="BA37" s="10" t="s">
        <v>1334</v>
      </c>
      <c r="BB37" s="10"/>
      <c r="BC37" s="10"/>
      <c r="BD37" s="10"/>
      <c r="BE37" s="10" t="s">
        <v>1260</v>
      </c>
      <c r="BF37" s="10"/>
      <c r="BG37" s="10" t="s">
        <v>1191</v>
      </c>
      <c r="BH37" s="10">
        <v>0</v>
      </c>
      <c r="BI37" s="10">
        <v>91</v>
      </c>
      <c r="BJ37" s="10" t="s">
        <v>1284</v>
      </c>
      <c r="BK37" s="10"/>
      <c r="BL37" s="11"/>
      <c r="BM37" s="10"/>
      <c r="BN37" s="10"/>
      <c r="BO37" s="10"/>
      <c r="BP37" s="9">
        <v>0.75</v>
      </c>
      <c r="BQ37" s="10"/>
      <c r="BR37" s="11"/>
      <c r="BS37" s="10" t="s">
        <v>1336</v>
      </c>
      <c r="BT37" s="10"/>
      <c r="BU37" s="10"/>
      <c r="BV37" s="10"/>
      <c r="BW37" s="10" t="s">
        <v>982</v>
      </c>
      <c r="BX37" s="10"/>
      <c r="BY37" s="10"/>
      <c r="BZ37" s="10"/>
      <c r="CA37" s="10"/>
      <c r="CB37" s="10"/>
      <c r="CC37" s="10" t="s">
        <v>976</v>
      </c>
      <c r="CD37" s="10"/>
      <c r="CE37" s="10" t="s">
        <v>1263</v>
      </c>
      <c r="CF37" s="10"/>
    </row>
    <row r="38" spans="1:84" x14ac:dyDescent="0.2">
      <c r="A38" s="6" t="s">
        <v>952</v>
      </c>
      <c r="B38" s="7" t="s">
        <v>976</v>
      </c>
      <c r="AM38" s="7" t="s">
        <v>972</v>
      </c>
      <c r="AN38" s="7" t="s">
        <v>1333</v>
      </c>
      <c r="AP38" s="7" t="s">
        <v>1003</v>
      </c>
      <c r="AR38" s="7" t="s">
        <v>1166</v>
      </c>
      <c r="AU38" s="7" t="s">
        <v>976</v>
      </c>
      <c r="AW38" s="7" t="s">
        <v>977</v>
      </c>
      <c r="AY38" s="7" t="s">
        <v>972</v>
      </c>
      <c r="AZ38" s="7">
        <v>0</v>
      </c>
      <c r="BA38" s="7" t="s">
        <v>1334</v>
      </c>
      <c r="BC38" s="7" t="s">
        <v>1335</v>
      </c>
      <c r="BE38" s="7" t="s">
        <v>1260</v>
      </c>
      <c r="BG38" s="7" t="s">
        <v>1191</v>
      </c>
      <c r="BH38" s="7">
        <v>0</v>
      </c>
      <c r="BI38" s="7">
        <v>90</v>
      </c>
      <c r="BJ38" s="7" t="s">
        <v>1284</v>
      </c>
      <c r="BP38" s="9">
        <v>0.75</v>
      </c>
      <c r="BS38" s="7" t="s">
        <v>1336</v>
      </c>
      <c r="BW38" s="7" t="s">
        <v>982</v>
      </c>
      <c r="CC38" s="7" t="s">
        <v>976</v>
      </c>
      <c r="CE38" s="7" t="s">
        <v>1268</v>
      </c>
    </row>
    <row r="39" spans="1:84" x14ac:dyDescent="0.2">
      <c r="A39" s="6" t="s">
        <v>921</v>
      </c>
      <c r="B39" s="7" t="s">
        <v>972</v>
      </c>
      <c r="I39" s="7" t="s">
        <v>976</v>
      </c>
      <c r="K39" s="7" t="s">
        <v>977</v>
      </c>
      <c r="M39" s="7" t="s">
        <v>976</v>
      </c>
      <c r="O39" s="7" t="s">
        <v>1260</v>
      </c>
      <c r="Q39" s="7" t="s">
        <v>1191</v>
      </c>
      <c r="R39" s="7">
        <v>0</v>
      </c>
      <c r="S39" s="7">
        <v>182</v>
      </c>
      <c r="T39" s="7" t="s">
        <v>1284</v>
      </c>
      <c r="Z39" s="29">
        <v>0.66669999999999996</v>
      </c>
      <c r="AD39" s="7" t="s">
        <v>982</v>
      </c>
      <c r="AJ39" s="7" t="s">
        <v>976</v>
      </c>
      <c r="AL39" s="7" t="s">
        <v>1294</v>
      </c>
      <c r="AM39" s="7" t="s">
        <v>972</v>
      </c>
      <c r="AN39" s="7" t="s">
        <v>1333</v>
      </c>
      <c r="AU39" s="7" t="s">
        <v>976</v>
      </c>
      <c r="AW39" s="7" t="s">
        <v>977</v>
      </c>
      <c r="AY39" s="7" t="s">
        <v>976</v>
      </c>
      <c r="BC39" s="7" t="s">
        <v>1335</v>
      </c>
      <c r="BE39" s="7" t="s">
        <v>1260</v>
      </c>
      <c r="BG39" s="7" t="s">
        <v>1191</v>
      </c>
      <c r="BH39" s="7">
        <v>0</v>
      </c>
      <c r="BI39" s="7">
        <v>182</v>
      </c>
      <c r="BJ39" s="7" t="s">
        <v>1284</v>
      </c>
      <c r="BP39" s="29">
        <v>0.66669999999999996</v>
      </c>
      <c r="BS39" s="7" t="s">
        <v>1336</v>
      </c>
      <c r="BW39" s="7" t="s">
        <v>982</v>
      </c>
      <c r="CC39" s="7" t="s">
        <v>976</v>
      </c>
      <c r="CE39" s="7" t="s">
        <v>1263</v>
      </c>
    </row>
    <row r="40" spans="1:84" x14ac:dyDescent="0.2">
      <c r="A40" s="6" t="s">
        <v>958</v>
      </c>
      <c r="B40" s="7" t="s">
        <v>976</v>
      </c>
      <c r="AM40" s="7" t="s">
        <v>976</v>
      </c>
    </row>
    <row r="41" spans="1:84" ht="38.25" x14ac:dyDescent="0.2">
      <c r="A41" s="6" t="s">
        <v>962</v>
      </c>
      <c r="B41" s="7" t="s">
        <v>972</v>
      </c>
      <c r="C41" s="7" t="s">
        <v>1347</v>
      </c>
      <c r="D41" s="7" t="s">
        <v>973</v>
      </c>
      <c r="I41" s="7" t="s">
        <v>976</v>
      </c>
      <c r="K41" s="7" t="s">
        <v>1136</v>
      </c>
      <c r="M41" s="7" t="s">
        <v>976</v>
      </c>
      <c r="O41" s="7" t="s">
        <v>1269</v>
      </c>
      <c r="Q41" s="7" t="s">
        <v>1191</v>
      </c>
      <c r="R41" s="7">
        <v>0</v>
      </c>
      <c r="S41" s="7">
        <v>130</v>
      </c>
      <c r="T41" s="7" t="s">
        <v>1284</v>
      </c>
      <c r="Z41" s="9">
        <v>0.75</v>
      </c>
      <c r="AB41" s="8">
        <v>75000</v>
      </c>
      <c r="AD41" s="7" t="s">
        <v>982</v>
      </c>
      <c r="AJ41" s="7" t="s">
        <v>976</v>
      </c>
      <c r="AL41" s="7" t="s">
        <v>1300</v>
      </c>
      <c r="AM41" s="7" t="s">
        <v>976</v>
      </c>
    </row>
    <row r="42" spans="1:84" ht="25.5" x14ac:dyDescent="0.2">
      <c r="A42" s="6" t="s">
        <v>957</v>
      </c>
      <c r="B42" s="7" t="s">
        <v>972</v>
      </c>
      <c r="C42" s="7" t="s">
        <v>1347</v>
      </c>
      <c r="D42" s="7" t="s">
        <v>973</v>
      </c>
      <c r="I42" s="7" t="s">
        <v>976</v>
      </c>
      <c r="K42" s="7" t="s">
        <v>977</v>
      </c>
      <c r="M42" s="7" t="s">
        <v>972</v>
      </c>
      <c r="N42" s="7">
        <v>1</v>
      </c>
      <c r="O42" s="7" t="s">
        <v>1260</v>
      </c>
      <c r="Q42" s="7" t="s">
        <v>1191</v>
      </c>
      <c r="R42" s="7">
        <v>0</v>
      </c>
      <c r="S42" s="7">
        <v>0</v>
      </c>
      <c r="T42" s="7" t="s">
        <v>1261</v>
      </c>
      <c r="W42" s="7" t="s">
        <v>1385</v>
      </c>
      <c r="X42" s="7" t="s">
        <v>990</v>
      </c>
      <c r="Y42" s="7" t="s">
        <v>1385</v>
      </c>
      <c r="AB42" s="7" t="s">
        <v>1386</v>
      </c>
      <c r="AC42" s="7">
        <v>91</v>
      </c>
      <c r="AD42" s="7" t="s">
        <v>982</v>
      </c>
      <c r="AJ42" s="7" t="s">
        <v>976</v>
      </c>
      <c r="AL42" s="7" t="s">
        <v>971</v>
      </c>
      <c r="AM42" s="7" t="s">
        <v>972</v>
      </c>
      <c r="AN42" s="7" t="s">
        <v>1333</v>
      </c>
      <c r="AP42" s="7" t="s">
        <v>1003</v>
      </c>
      <c r="AR42" s="7" t="s">
        <v>1166</v>
      </c>
      <c r="AU42" s="7" t="s">
        <v>976</v>
      </c>
      <c r="AW42" s="7" t="s">
        <v>977</v>
      </c>
      <c r="AY42" s="7" t="s">
        <v>972</v>
      </c>
      <c r="AZ42" s="7">
        <v>16</v>
      </c>
      <c r="BA42" s="7" t="s">
        <v>1334</v>
      </c>
      <c r="BC42" s="7" t="s">
        <v>1335</v>
      </c>
      <c r="BE42" s="7" t="s">
        <v>1260</v>
      </c>
      <c r="BG42" s="7" t="s">
        <v>1191</v>
      </c>
      <c r="BH42" s="7">
        <v>0</v>
      </c>
      <c r="BI42" s="7">
        <v>182</v>
      </c>
      <c r="BJ42" s="7" t="s">
        <v>1284</v>
      </c>
      <c r="BP42" s="9">
        <v>0.75</v>
      </c>
      <c r="BS42" s="7" t="s">
        <v>1336</v>
      </c>
      <c r="BW42" s="7" t="s">
        <v>982</v>
      </c>
      <c r="CC42" s="7" t="s">
        <v>976</v>
      </c>
      <c r="CE42" s="7" t="s">
        <v>990</v>
      </c>
      <c r="CF42" s="7" t="s">
        <v>1275</v>
      </c>
    </row>
    <row r="43" spans="1:84" ht="25.5" x14ac:dyDescent="0.2">
      <c r="A43" s="6" t="s">
        <v>918</v>
      </c>
      <c r="B43" s="7" t="s">
        <v>972</v>
      </c>
      <c r="C43" s="7" t="s">
        <v>1338</v>
      </c>
      <c r="D43" s="7" t="s">
        <v>990</v>
      </c>
      <c r="E43" s="7" t="s">
        <v>1345</v>
      </c>
      <c r="I43" s="7" t="s">
        <v>976</v>
      </c>
      <c r="K43" s="7" t="s">
        <v>977</v>
      </c>
      <c r="M43" s="7" t="s">
        <v>972</v>
      </c>
      <c r="N43" s="7">
        <v>0</v>
      </c>
      <c r="O43" s="7" t="s">
        <v>1260</v>
      </c>
      <c r="Q43" s="7" t="s">
        <v>1191</v>
      </c>
      <c r="R43" s="7">
        <v>0</v>
      </c>
      <c r="S43" s="7">
        <v>0</v>
      </c>
      <c r="T43" s="7" t="s">
        <v>1284</v>
      </c>
      <c r="Z43" s="9">
        <v>1</v>
      </c>
      <c r="AC43" s="7">
        <v>180</v>
      </c>
      <c r="AD43" s="7" t="s">
        <v>982</v>
      </c>
      <c r="AJ43" s="7" t="s">
        <v>976</v>
      </c>
      <c r="AL43" s="7" t="s">
        <v>1346</v>
      </c>
      <c r="AM43" s="7" t="s">
        <v>972</v>
      </c>
      <c r="AN43" s="7" t="s">
        <v>1333</v>
      </c>
      <c r="AP43" s="7" t="s">
        <v>1003</v>
      </c>
      <c r="AR43" s="7" t="s">
        <v>1166</v>
      </c>
      <c r="AU43" s="7" t="s">
        <v>976</v>
      </c>
      <c r="AW43" s="7" t="s">
        <v>977</v>
      </c>
      <c r="AY43" s="7" t="s">
        <v>1023</v>
      </c>
      <c r="BA43" s="7" t="s">
        <v>1334</v>
      </c>
      <c r="BC43" s="7" t="s">
        <v>1335</v>
      </c>
      <c r="BE43" s="7" t="s">
        <v>1260</v>
      </c>
      <c r="BG43" s="7" t="s">
        <v>1191</v>
      </c>
      <c r="BH43" s="7">
        <v>0</v>
      </c>
      <c r="BI43" s="7">
        <v>365</v>
      </c>
      <c r="BJ43" s="7" t="s">
        <v>1284</v>
      </c>
      <c r="BP43" s="9">
        <v>0.75</v>
      </c>
      <c r="BS43" s="7" t="s">
        <v>1336</v>
      </c>
      <c r="BW43" s="7" t="s">
        <v>982</v>
      </c>
      <c r="CC43" s="7" t="s">
        <v>976</v>
      </c>
      <c r="CE43" s="7" t="s">
        <v>1168</v>
      </c>
    </row>
    <row r="44" spans="1:84" x14ac:dyDescent="0.2">
      <c r="A44" s="6" t="s">
        <v>965</v>
      </c>
      <c r="B44" s="7" t="s">
        <v>976</v>
      </c>
      <c r="AM44" s="7" t="s">
        <v>972</v>
      </c>
      <c r="AN44" s="7" t="s">
        <v>1333</v>
      </c>
      <c r="AP44" s="7" t="s">
        <v>1003</v>
      </c>
      <c r="AR44" s="7" t="s">
        <v>1312</v>
      </c>
      <c r="AU44" s="7" t="s">
        <v>976</v>
      </c>
      <c r="AW44" s="7" t="s">
        <v>977</v>
      </c>
      <c r="AY44" s="7" t="s">
        <v>972</v>
      </c>
      <c r="AZ44" s="7">
        <v>1</v>
      </c>
      <c r="BA44" s="7" t="s">
        <v>1334</v>
      </c>
      <c r="BC44" s="7" t="s">
        <v>1335</v>
      </c>
      <c r="BE44" s="7" t="s">
        <v>1296</v>
      </c>
      <c r="BG44" s="7" t="s">
        <v>1191</v>
      </c>
      <c r="BH44" s="7">
        <v>0</v>
      </c>
      <c r="BI44" s="7">
        <v>91</v>
      </c>
      <c r="BJ44" s="7" t="s">
        <v>1284</v>
      </c>
      <c r="BP44" s="9">
        <v>0.75</v>
      </c>
      <c r="BR44" s="8">
        <v>350000</v>
      </c>
      <c r="BS44" s="7" t="s">
        <v>1336</v>
      </c>
      <c r="BW44" s="7" t="s">
        <v>982</v>
      </c>
      <c r="CC44" s="7" t="s">
        <v>976</v>
      </c>
      <c r="CE44" s="7" t="s">
        <v>1268</v>
      </c>
    </row>
    <row r="45" spans="1:84" x14ac:dyDescent="0.2">
      <c r="A45" s="6" t="s">
        <v>942</v>
      </c>
      <c r="B45" s="7" t="s">
        <v>976</v>
      </c>
      <c r="AM45" s="7" t="s">
        <v>972</v>
      </c>
      <c r="AN45" s="7" t="s">
        <v>990</v>
      </c>
      <c r="AO45" s="7" t="s">
        <v>1373</v>
      </c>
      <c r="AP45" s="7" t="s">
        <v>1003</v>
      </c>
      <c r="AR45" s="7" t="s">
        <v>1166</v>
      </c>
      <c r="AU45" s="7" t="s">
        <v>976</v>
      </c>
      <c r="AW45" s="7" t="s">
        <v>977</v>
      </c>
      <c r="AY45" s="7" t="s">
        <v>972</v>
      </c>
      <c r="AZ45" s="7">
        <v>0</v>
      </c>
      <c r="BA45" s="7" t="s">
        <v>1334</v>
      </c>
      <c r="BC45" s="7" t="s">
        <v>1335</v>
      </c>
      <c r="BE45" s="7" t="s">
        <v>1260</v>
      </c>
      <c r="BG45" s="7" t="s">
        <v>1191</v>
      </c>
      <c r="BH45" s="7">
        <v>0</v>
      </c>
      <c r="BI45" s="7">
        <v>182</v>
      </c>
      <c r="BJ45" s="7" t="s">
        <v>1284</v>
      </c>
      <c r="BP45" s="9">
        <v>0.66</v>
      </c>
      <c r="BR45" s="8">
        <v>150000</v>
      </c>
      <c r="BS45" s="7" t="s">
        <v>1336</v>
      </c>
      <c r="BW45" s="7" t="s">
        <v>982</v>
      </c>
      <c r="CC45" s="7" t="s">
        <v>976</v>
      </c>
      <c r="CE45" s="7" t="s">
        <v>1168</v>
      </c>
    </row>
    <row r="46" spans="1:84" x14ac:dyDescent="0.2">
      <c r="A46" s="6" t="s">
        <v>955</v>
      </c>
      <c r="B46" s="7" t="s">
        <v>972</v>
      </c>
      <c r="C46" s="7" t="s">
        <v>1347</v>
      </c>
      <c r="D46" s="7" t="s">
        <v>973</v>
      </c>
      <c r="I46" s="7" t="s">
        <v>976</v>
      </c>
      <c r="K46" s="7" t="s">
        <v>977</v>
      </c>
      <c r="M46" s="7" t="s">
        <v>972</v>
      </c>
      <c r="N46" s="7">
        <v>8</v>
      </c>
      <c r="O46" s="7" t="s">
        <v>1279</v>
      </c>
      <c r="Q46" s="7" t="s">
        <v>1191</v>
      </c>
      <c r="R46" s="7">
        <v>0</v>
      </c>
      <c r="S46" s="7">
        <v>0</v>
      </c>
      <c r="T46" s="7" t="s">
        <v>1284</v>
      </c>
      <c r="Z46" s="9">
        <v>1</v>
      </c>
      <c r="AB46" s="8">
        <v>600000</v>
      </c>
      <c r="AC46" s="7">
        <v>182</v>
      </c>
      <c r="AD46" s="7" t="s">
        <v>982</v>
      </c>
      <c r="AJ46" s="7" t="s">
        <v>976</v>
      </c>
      <c r="AL46" s="7" t="s">
        <v>1328</v>
      </c>
      <c r="AM46" s="7" t="s">
        <v>972</v>
      </c>
      <c r="AN46" s="7" t="s">
        <v>1333</v>
      </c>
      <c r="AP46" s="7" t="s">
        <v>1003</v>
      </c>
      <c r="AR46" s="7" t="s">
        <v>1166</v>
      </c>
      <c r="AU46" s="7" t="s">
        <v>976</v>
      </c>
      <c r="AW46" s="7" t="s">
        <v>977</v>
      </c>
      <c r="AY46" s="7" t="s">
        <v>972</v>
      </c>
      <c r="AZ46" s="7">
        <v>8</v>
      </c>
      <c r="BA46" s="7" t="s">
        <v>1334</v>
      </c>
      <c r="BC46" s="7" t="s">
        <v>1335</v>
      </c>
      <c r="BE46" s="7" t="s">
        <v>1279</v>
      </c>
      <c r="BG46" s="7" t="s">
        <v>1191</v>
      </c>
      <c r="BH46" s="7">
        <v>0</v>
      </c>
      <c r="BI46" s="7">
        <v>182</v>
      </c>
      <c r="BJ46" s="7" t="s">
        <v>1284</v>
      </c>
      <c r="BP46" s="9">
        <v>0.75</v>
      </c>
      <c r="BR46" s="8">
        <v>120000</v>
      </c>
      <c r="BS46" s="7" t="s">
        <v>1336</v>
      </c>
      <c r="BW46" s="7" t="s">
        <v>982</v>
      </c>
      <c r="CC46" s="7" t="s">
        <v>976</v>
      </c>
      <c r="CE46" s="7" t="s">
        <v>1268</v>
      </c>
    </row>
    <row r="47" spans="1:84" x14ac:dyDescent="0.2">
      <c r="A47" s="12" t="s">
        <v>967</v>
      </c>
      <c r="B47" s="10" t="s">
        <v>976</v>
      </c>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t="s">
        <v>972</v>
      </c>
      <c r="AN47" s="10" t="s">
        <v>1333</v>
      </c>
      <c r="AO47" s="10"/>
      <c r="AP47" s="10" t="s">
        <v>1003</v>
      </c>
      <c r="AQ47" s="10"/>
      <c r="AR47" s="10" t="s">
        <v>1166</v>
      </c>
      <c r="AS47" s="10"/>
      <c r="AT47" s="10"/>
      <c r="AU47" s="10" t="s">
        <v>976</v>
      </c>
      <c r="AV47" s="10"/>
      <c r="AW47" s="10" t="s">
        <v>977</v>
      </c>
      <c r="AX47" s="10"/>
      <c r="AY47" s="10" t="s">
        <v>972</v>
      </c>
      <c r="AZ47" s="10">
        <v>1</v>
      </c>
      <c r="BA47" s="10" t="s">
        <v>1334</v>
      </c>
      <c r="BB47" s="10"/>
      <c r="BC47" s="10" t="s">
        <v>1335</v>
      </c>
      <c r="BD47" s="10"/>
      <c r="BE47" s="10" t="s">
        <v>1260</v>
      </c>
      <c r="BF47" s="10"/>
      <c r="BG47" s="10" t="s">
        <v>1191</v>
      </c>
      <c r="BH47" s="10">
        <v>0</v>
      </c>
      <c r="BI47" s="10">
        <v>182</v>
      </c>
      <c r="BJ47" s="10" t="s">
        <v>1284</v>
      </c>
      <c r="BK47" s="10"/>
      <c r="BL47" s="11"/>
      <c r="BM47" s="10"/>
      <c r="BN47" s="10"/>
      <c r="BO47" s="10"/>
      <c r="BP47" s="9">
        <v>0.75</v>
      </c>
      <c r="BQ47" s="10"/>
      <c r="BR47" s="11">
        <v>200000</v>
      </c>
      <c r="BS47" s="10" t="s">
        <v>1344</v>
      </c>
      <c r="BT47" s="10"/>
      <c r="BU47" s="10">
        <v>60</v>
      </c>
      <c r="BV47" s="10"/>
      <c r="BW47" s="10" t="s">
        <v>982</v>
      </c>
      <c r="BX47" s="10"/>
      <c r="BY47" s="10"/>
      <c r="BZ47" s="10"/>
      <c r="CA47" s="10"/>
      <c r="CB47" s="10"/>
      <c r="CC47" s="10" t="s">
        <v>976</v>
      </c>
      <c r="CD47" s="10"/>
      <c r="CE47" s="10" t="s">
        <v>1168</v>
      </c>
      <c r="CF47" s="10"/>
    </row>
    <row r="48" spans="1:84" ht="38.25" x14ac:dyDescent="0.2">
      <c r="A48" s="6" t="s">
        <v>964</v>
      </c>
      <c r="B48" s="7" t="s">
        <v>972</v>
      </c>
      <c r="C48" s="7" t="s">
        <v>1347</v>
      </c>
      <c r="D48" s="7" t="s">
        <v>973</v>
      </c>
      <c r="I48" s="7" t="s">
        <v>972</v>
      </c>
      <c r="J48" s="7">
        <v>2</v>
      </c>
      <c r="K48" s="7" t="s">
        <v>977</v>
      </c>
      <c r="M48" s="7" t="s">
        <v>976</v>
      </c>
      <c r="O48" s="7" t="s">
        <v>1260</v>
      </c>
      <c r="Q48" s="7" t="s">
        <v>1191</v>
      </c>
      <c r="R48" s="7">
        <v>0</v>
      </c>
      <c r="S48" s="7">
        <v>0</v>
      </c>
      <c r="T48" s="7" t="s">
        <v>1261</v>
      </c>
      <c r="W48" s="7">
        <v>1</v>
      </c>
      <c r="AB48" s="7" t="s">
        <v>971</v>
      </c>
      <c r="AC48" s="7">
        <v>90</v>
      </c>
      <c r="AD48" s="7" t="s">
        <v>982</v>
      </c>
      <c r="AJ48" s="7" t="s">
        <v>976</v>
      </c>
      <c r="AL48" s="7" t="s">
        <v>1329</v>
      </c>
      <c r="AM48" s="7" t="s">
        <v>972</v>
      </c>
      <c r="AN48" s="7" t="s">
        <v>1333</v>
      </c>
      <c r="AP48" s="7" t="s">
        <v>1330</v>
      </c>
      <c r="AQ48" s="7" t="s">
        <v>3568</v>
      </c>
      <c r="AU48" s="7" t="s">
        <v>972</v>
      </c>
      <c r="AV48" s="7">
        <v>2</v>
      </c>
      <c r="AW48" s="7" t="s">
        <v>977</v>
      </c>
      <c r="AY48" s="7" t="s">
        <v>976</v>
      </c>
      <c r="BA48" s="7" t="s">
        <v>1334</v>
      </c>
      <c r="BC48" s="7" t="s">
        <v>1342</v>
      </c>
      <c r="BE48" s="7" t="s">
        <v>1279</v>
      </c>
      <c r="BG48" s="7" t="s">
        <v>1191</v>
      </c>
      <c r="BH48" s="7">
        <v>0</v>
      </c>
      <c r="BJ48" s="7" t="s">
        <v>1284</v>
      </c>
      <c r="BP48" s="9">
        <v>0.75</v>
      </c>
      <c r="BS48" s="7" t="s">
        <v>1336</v>
      </c>
      <c r="BW48" s="7" t="s">
        <v>982</v>
      </c>
      <c r="CC48" s="7" t="s">
        <v>976</v>
      </c>
      <c r="CE48" s="7" t="s">
        <v>1268</v>
      </c>
    </row>
    <row r="49" spans="1:84" ht="51" x14ac:dyDescent="0.2">
      <c r="A49" s="6" t="s">
        <v>951</v>
      </c>
      <c r="B49" s="7" t="s">
        <v>972</v>
      </c>
      <c r="C49" s="7" t="s">
        <v>1338</v>
      </c>
      <c r="D49" s="7" t="s">
        <v>973</v>
      </c>
      <c r="I49" s="7" t="s">
        <v>976</v>
      </c>
      <c r="K49" s="7" t="s">
        <v>977</v>
      </c>
      <c r="M49" s="7" t="s">
        <v>972</v>
      </c>
      <c r="N49" s="7">
        <v>0</v>
      </c>
      <c r="O49" s="7" t="s">
        <v>1260</v>
      </c>
      <c r="Q49" s="7" t="s">
        <v>1156</v>
      </c>
      <c r="R49" s="7">
        <v>0</v>
      </c>
      <c r="S49" s="7">
        <v>0</v>
      </c>
      <c r="T49" s="7" t="s">
        <v>994</v>
      </c>
      <c r="AA49" s="7" t="s">
        <v>3566</v>
      </c>
      <c r="AC49" s="7">
        <v>26</v>
      </c>
      <c r="AJ49" s="7" t="s">
        <v>976</v>
      </c>
      <c r="AL49" s="7" t="s">
        <v>1381</v>
      </c>
      <c r="AM49" s="7" t="s">
        <v>972</v>
      </c>
      <c r="AN49" s="7" t="s">
        <v>1333</v>
      </c>
      <c r="AP49" s="7" t="s">
        <v>1003</v>
      </c>
      <c r="AR49" s="7" t="s">
        <v>1166</v>
      </c>
      <c r="AU49" s="7" t="s">
        <v>976</v>
      </c>
      <c r="AW49" s="7" t="s">
        <v>977</v>
      </c>
      <c r="AY49" s="7" t="s">
        <v>972</v>
      </c>
      <c r="AZ49" s="7">
        <v>0</v>
      </c>
      <c r="BA49" s="7" t="s">
        <v>1334</v>
      </c>
      <c r="BC49" s="7" t="s">
        <v>1335</v>
      </c>
      <c r="BE49" s="7" t="s">
        <v>1260</v>
      </c>
      <c r="BG49" s="7" t="s">
        <v>1156</v>
      </c>
      <c r="BH49" s="7">
        <v>0</v>
      </c>
      <c r="BI49" s="7">
        <v>182</v>
      </c>
      <c r="BJ49" s="7" t="s">
        <v>994</v>
      </c>
      <c r="BQ49" s="7" t="s">
        <v>1382</v>
      </c>
      <c r="BS49" s="7" t="s">
        <v>1336</v>
      </c>
      <c r="BW49" s="7" t="s">
        <v>982</v>
      </c>
      <c r="CC49" s="7" t="s">
        <v>976</v>
      </c>
      <c r="CE49" s="7" t="s">
        <v>990</v>
      </c>
      <c r="CF49" s="7" t="s">
        <v>1282</v>
      </c>
    </row>
    <row r="50" spans="1:84" ht="63.75" x14ac:dyDescent="0.2">
      <c r="A50" s="6" t="s">
        <v>954</v>
      </c>
      <c r="B50" s="7" t="s">
        <v>972</v>
      </c>
      <c r="C50" s="7" t="s">
        <v>1347</v>
      </c>
      <c r="D50" s="7" t="s">
        <v>990</v>
      </c>
      <c r="E50" s="7" t="s">
        <v>1383</v>
      </c>
      <c r="I50" s="7" t="s">
        <v>976</v>
      </c>
      <c r="K50" s="7" t="s">
        <v>977</v>
      </c>
      <c r="M50" s="7" t="s">
        <v>972</v>
      </c>
      <c r="N50" s="7">
        <v>20</v>
      </c>
      <c r="O50" s="7" t="s">
        <v>1296</v>
      </c>
      <c r="Q50" s="7" t="s">
        <v>1156</v>
      </c>
      <c r="R50" s="7">
        <v>0</v>
      </c>
      <c r="S50" s="7">
        <v>0</v>
      </c>
      <c r="T50" s="7" t="s">
        <v>1284</v>
      </c>
      <c r="Z50" s="9">
        <v>0.7</v>
      </c>
      <c r="AD50" s="7" t="s">
        <v>982</v>
      </c>
      <c r="AJ50" s="7" t="s">
        <v>976</v>
      </c>
      <c r="AL50" s="7" t="s">
        <v>1300</v>
      </c>
      <c r="AM50" s="7" t="s">
        <v>972</v>
      </c>
      <c r="AN50" s="7" t="s">
        <v>990</v>
      </c>
      <c r="AO50" s="7" t="s">
        <v>1384</v>
      </c>
      <c r="AP50" s="7" t="s">
        <v>1003</v>
      </c>
      <c r="AR50" s="7" t="s">
        <v>1166</v>
      </c>
      <c r="AU50" s="7" t="s">
        <v>976</v>
      </c>
      <c r="AW50" s="7" t="s">
        <v>977</v>
      </c>
      <c r="AY50" s="7" t="s">
        <v>972</v>
      </c>
      <c r="AZ50" s="7">
        <v>20</v>
      </c>
      <c r="BA50" s="7" t="s">
        <v>1348</v>
      </c>
      <c r="BC50" s="7" t="s">
        <v>990</v>
      </c>
      <c r="BD50" s="7" t="s">
        <v>3876</v>
      </c>
      <c r="BE50" s="7" t="s">
        <v>1296</v>
      </c>
      <c r="BG50" s="7" t="s">
        <v>1156</v>
      </c>
      <c r="BH50" s="7">
        <v>0</v>
      </c>
      <c r="BJ50" s="7" t="s">
        <v>1284</v>
      </c>
      <c r="BP50" s="9">
        <v>0.7</v>
      </c>
      <c r="BS50" s="7" t="s">
        <v>990</v>
      </c>
      <c r="BT50" s="7" t="s">
        <v>3877</v>
      </c>
      <c r="BW50" s="7" t="s">
        <v>982</v>
      </c>
      <c r="CC50" s="7" t="s">
        <v>976</v>
      </c>
      <c r="CE50" s="7" t="s">
        <v>1168</v>
      </c>
    </row>
    <row r="51" spans="1:84" x14ac:dyDescent="0.2">
      <c r="A51" s="6" t="s">
        <v>944</v>
      </c>
      <c r="B51" s="7" t="s">
        <v>976</v>
      </c>
      <c r="AM51" s="7" t="s">
        <v>972</v>
      </c>
      <c r="AP51" s="7" t="s">
        <v>1003</v>
      </c>
      <c r="AR51" s="7" t="s">
        <v>1166</v>
      </c>
      <c r="AU51" s="7" t="s">
        <v>976</v>
      </c>
      <c r="AW51" s="7" t="s">
        <v>977</v>
      </c>
      <c r="AY51" s="7" t="s">
        <v>972</v>
      </c>
      <c r="BA51" s="7" t="s">
        <v>1334</v>
      </c>
      <c r="BC51" s="7" t="s">
        <v>1335</v>
      </c>
      <c r="BE51" s="7" t="s">
        <v>1260</v>
      </c>
      <c r="BG51" s="7" t="s">
        <v>1191</v>
      </c>
      <c r="BH51" s="7">
        <v>0</v>
      </c>
      <c r="BI51" s="7">
        <v>180</v>
      </c>
      <c r="BJ51" s="7" t="s">
        <v>1284</v>
      </c>
      <c r="BP51" s="9">
        <v>0.75</v>
      </c>
      <c r="BW51" s="7" t="s">
        <v>982</v>
      </c>
      <c r="CC51" s="7" t="s">
        <v>976</v>
      </c>
      <c r="CE51" s="7" t="s">
        <v>1268</v>
      </c>
    </row>
    <row r="52" spans="1:84" ht="25.5" x14ac:dyDescent="0.2">
      <c r="A52" s="6" t="s">
        <v>950</v>
      </c>
      <c r="B52" s="7" t="s">
        <v>972</v>
      </c>
      <c r="C52" s="7" t="s">
        <v>1338</v>
      </c>
      <c r="D52" s="7" t="s">
        <v>973</v>
      </c>
      <c r="I52" s="7" t="s">
        <v>976</v>
      </c>
      <c r="K52" s="7" t="s">
        <v>977</v>
      </c>
      <c r="M52" s="7" t="s">
        <v>972</v>
      </c>
      <c r="N52" s="7">
        <v>1</v>
      </c>
      <c r="O52" s="7" t="s">
        <v>1260</v>
      </c>
      <c r="Q52" s="7" t="s">
        <v>1191</v>
      </c>
      <c r="R52" s="7">
        <v>0</v>
      </c>
      <c r="S52" s="7">
        <v>0</v>
      </c>
      <c r="T52" s="7" t="s">
        <v>1284</v>
      </c>
      <c r="Z52" s="9">
        <v>1</v>
      </c>
      <c r="AC52" s="7">
        <v>182</v>
      </c>
      <c r="AD52" s="7" t="s">
        <v>982</v>
      </c>
      <c r="AJ52" s="7" t="s">
        <v>976</v>
      </c>
      <c r="AL52" s="7" t="s">
        <v>973</v>
      </c>
      <c r="AM52" s="7" t="s">
        <v>972</v>
      </c>
      <c r="AN52" s="7" t="s">
        <v>1333</v>
      </c>
      <c r="AP52" s="7" t="s">
        <v>1003</v>
      </c>
      <c r="AR52" s="7" t="s">
        <v>1166</v>
      </c>
      <c r="AU52" s="7" t="s">
        <v>976</v>
      </c>
      <c r="AW52" s="7" t="s">
        <v>977</v>
      </c>
      <c r="AY52" s="7" t="s">
        <v>972</v>
      </c>
      <c r="AZ52" s="7">
        <v>1</v>
      </c>
      <c r="BA52" s="7" t="s">
        <v>1334</v>
      </c>
      <c r="BC52" s="7" t="s">
        <v>1335</v>
      </c>
      <c r="BE52" s="7" t="s">
        <v>1260</v>
      </c>
      <c r="BG52" s="7" t="s">
        <v>1191</v>
      </c>
      <c r="BH52" s="7">
        <v>0</v>
      </c>
      <c r="BI52" s="7">
        <v>182</v>
      </c>
      <c r="BJ52" s="7" t="s">
        <v>1284</v>
      </c>
      <c r="BP52" s="9">
        <v>0.75</v>
      </c>
      <c r="BR52" s="8">
        <v>350000</v>
      </c>
      <c r="BS52" s="7" t="s">
        <v>1380</v>
      </c>
      <c r="BV52" s="7">
        <v>70</v>
      </c>
      <c r="BW52" s="7" t="s">
        <v>982</v>
      </c>
      <c r="CC52" s="7" t="s">
        <v>976</v>
      </c>
      <c r="CE52" s="7" t="s">
        <v>1268</v>
      </c>
    </row>
    <row r="53" spans="1:84" x14ac:dyDescent="0.2">
      <c r="A53" s="6" t="s">
        <v>940</v>
      </c>
      <c r="B53" s="7" t="s">
        <v>972</v>
      </c>
      <c r="C53" s="7" t="s">
        <v>1338</v>
      </c>
      <c r="D53" s="7" t="s">
        <v>973</v>
      </c>
      <c r="I53" s="7" t="s">
        <v>976</v>
      </c>
      <c r="K53" s="7" t="s">
        <v>977</v>
      </c>
      <c r="M53" s="7" t="s">
        <v>972</v>
      </c>
      <c r="N53" s="7">
        <v>20</v>
      </c>
      <c r="O53" s="7" t="s">
        <v>1260</v>
      </c>
      <c r="Q53" s="7" t="s">
        <v>1191</v>
      </c>
      <c r="R53" s="7">
        <v>0</v>
      </c>
      <c r="S53" s="7">
        <v>0</v>
      </c>
      <c r="T53" s="7" t="s">
        <v>994</v>
      </c>
      <c r="AA53" s="7" t="s">
        <v>1371</v>
      </c>
      <c r="AC53" s="7">
        <v>65</v>
      </c>
      <c r="AD53" s="7" t="s">
        <v>982</v>
      </c>
      <c r="AJ53" s="7" t="s">
        <v>976</v>
      </c>
      <c r="AL53" s="7" t="s">
        <v>970</v>
      </c>
      <c r="AM53" s="7" t="s">
        <v>972</v>
      </c>
      <c r="AN53" s="7" t="s">
        <v>1333</v>
      </c>
      <c r="AP53" s="7" t="s">
        <v>1003</v>
      </c>
      <c r="AR53" s="7" t="s">
        <v>1166</v>
      </c>
      <c r="AU53" s="7" t="s">
        <v>976</v>
      </c>
      <c r="AW53" s="7" t="s">
        <v>977</v>
      </c>
      <c r="AY53" s="7" t="s">
        <v>972</v>
      </c>
      <c r="AZ53" s="7">
        <v>20</v>
      </c>
      <c r="BA53" s="7" t="s">
        <v>1334</v>
      </c>
      <c r="BC53" s="7" t="s">
        <v>1335</v>
      </c>
      <c r="BE53" s="7" t="s">
        <v>1269</v>
      </c>
      <c r="BG53" s="7" t="s">
        <v>1191</v>
      </c>
      <c r="BH53" s="7">
        <v>0</v>
      </c>
      <c r="BI53" s="7">
        <v>91</v>
      </c>
      <c r="BJ53" s="7" t="s">
        <v>1284</v>
      </c>
      <c r="BP53" s="9">
        <v>0.75</v>
      </c>
      <c r="BS53" s="7" t="s">
        <v>1336</v>
      </c>
      <c r="BW53" s="7" t="s">
        <v>982</v>
      </c>
      <c r="CC53" s="7" t="s">
        <v>976</v>
      </c>
      <c r="CE53" s="7" t="s">
        <v>1168</v>
      </c>
    </row>
    <row r="54" spans="1:84" ht="25.5" x14ac:dyDescent="0.2">
      <c r="A54" s="6" t="s">
        <v>960</v>
      </c>
      <c r="B54" s="7" t="s">
        <v>976</v>
      </c>
      <c r="AM54" s="7" t="s">
        <v>972</v>
      </c>
      <c r="AN54" s="7" t="s">
        <v>1333</v>
      </c>
      <c r="AP54" s="7" t="s">
        <v>973</v>
      </c>
      <c r="AU54" s="7" t="s">
        <v>972</v>
      </c>
      <c r="AV54" s="7">
        <v>3</v>
      </c>
      <c r="AW54" s="7" t="s">
        <v>977</v>
      </c>
      <c r="AY54" s="7" t="s">
        <v>972</v>
      </c>
      <c r="BA54" s="7" t="s">
        <v>1340</v>
      </c>
      <c r="BC54" s="7" t="s">
        <v>1335</v>
      </c>
      <c r="BE54" s="7" t="s">
        <v>1389</v>
      </c>
      <c r="BG54" s="7" t="s">
        <v>1191</v>
      </c>
      <c r="BI54" s="7">
        <v>182</v>
      </c>
      <c r="BJ54" s="7" t="s">
        <v>1284</v>
      </c>
      <c r="BS54" s="7" t="s">
        <v>1336</v>
      </c>
      <c r="BW54" s="7" t="s">
        <v>982</v>
      </c>
      <c r="CC54" s="7" t="s">
        <v>976</v>
      </c>
      <c r="CE54" s="7" t="s">
        <v>990</v>
      </c>
      <c r="CF54" s="7" t="s">
        <v>1275</v>
      </c>
    </row>
    <row r="55" spans="1:84" ht="25.5" x14ac:dyDescent="0.2">
      <c r="A55" s="6" t="s">
        <v>916</v>
      </c>
      <c r="B55" s="7" t="s">
        <v>972</v>
      </c>
      <c r="C55" s="7" t="s">
        <v>1338</v>
      </c>
      <c r="D55" s="7" t="s">
        <v>973</v>
      </c>
      <c r="I55" s="7" t="s">
        <v>976</v>
      </c>
      <c r="K55" s="7" t="s">
        <v>977</v>
      </c>
      <c r="M55" s="7" t="s">
        <v>972</v>
      </c>
      <c r="N55" s="7">
        <v>0</v>
      </c>
      <c r="O55" s="7" t="s">
        <v>1260</v>
      </c>
      <c r="Q55" s="7" t="s">
        <v>1191</v>
      </c>
      <c r="R55" s="7">
        <v>0</v>
      </c>
      <c r="S55" s="7">
        <v>0</v>
      </c>
      <c r="T55" s="7" t="s">
        <v>1284</v>
      </c>
      <c r="Z55" s="9">
        <v>1</v>
      </c>
      <c r="AC55" s="7">
        <v>182</v>
      </c>
      <c r="AD55" s="7" t="s">
        <v>982</v>
      </c>
      <c r="AJ55" s="7" t="s">
        <v>976</v>
      </c>
      <c r="AM55" s="7" t="s">
        <v>972</v>
      </c>
      <c r="AN55" s="7" t="s">
        <v>1333</v>
      </c>
      <c r="AP55" s="7" t="s">
        <v>1003</v>
      </c>
      <c r="AR55" s="7" t="s">
        <v>1166</v>
      </c>
      <c r="AU55" s="7" t="s">
        <v>976</v>
      </c>
      <c r="AW55" s="7" t="s">
        <v>1343</v>
      </c>
      <c r="AY55" s="7" t="s">
        <v>972</v>
      </c>
      <c r="AZ55" s="7">
        <v>0</v>
      </c>
      <c r="BA55" s="7" t="s">
        <v>1334</v>
      </c>
      <c r="BC55" s="7" t="s">
        <v>1335</v>
      </c>
      <c r="BE55" s="7" t="s">
        <v>1269</v>
      </c>
      <c r="BG55" s="7" t="s">
        <v>1191</v>
      </c>
      <c r="BH55" s="7">
        <v>0</v>
      </c>
      <c r="BI55" s="7">
        <v>90</v>
      </c>
      <c r="BJ55" s="7" t="s">
        <v>1284</v>
      </c>
      <c r="BP55" s="9">
        <v>0.75</v>
      </c>
      <c r="BS55" s="7" t="s">
        <v>1336</v>
      </c>
      <c r="BW55" s="7" t="s">
        <v>982</v>
      </c>
      <c r="CC55" s="7" t="s">
        <v>976</v>
      </c>
      <c r="CE55" s="7" t="s">
        <v>990</v>
      </c>
      <c r="CF55" s="7" t="s">
        <v>1275</v>
      </c>
    </row>
    <row r="56" spans="1:84" x14ac:dyDescent="0.2">
      <c r="A56" s="6" t="s">
        <v>946</v>
      </c>
      <c r="B56" s="7" t="s">
        <v>972</v>
      </c>
      <c r="C56" s="7" t="s">
        <v>1347</v>
      </c>
      <c r="D56" s="7" t="s">
        <v>990</v>
      </c>
      <c r="E56" s="7" t="s">
        <v>1378</v>
      </c>
      <c r="I56" s="7" t="s">
        <v>976</v>
      </c>
      <c r="K56" s="7" t="s">
        <v>977</v>
      </c>
      <c r="M56" s="7" t="s">
        <v>972</v>
      </c>
      <c r="N56" s="7">
        <v>0</v>
      </c>
      <c r="O56" s="7" t="s">
        <v>1260</v>
      </c>
      <c r="Q56" s="7" t="s">
        <v>1191</v>
      </c>
      <c r="R56" s="7">
        <v>0</v>
      </c>
      <c r="S56" s="7">
        <v>182</v>
      </c>
      <c r="T56" s="7" t="s">
        <v>1284</v>
      </c>
      <c r="Z56" s="9">
        <v>0.8</v>
      </c>
      <c r="AC56" s="8">
        <v>182</v>
      </c>
      <c r="AD56" s="7" t="s">
        <v>982</v>
      </c>
      <c r="AJ56" s="7" t="s">
        <v>976</v>
      </c>
      <c r="AM56" s="7" t="s">
        <v>972</v>
      </c>
      <c r="AN56" s="7" t="s">
        <v>1333</v>
      </c>
      <c r="AP56" s="7" t="s">
        <v>1003</v>
      </c>
      <c r="AR56" s="7" t="s">
        <v>1166</v>
      </c>
      <c r="AU56" s="7" t="s">
        <v>976</v>
      </c>
      <c r="AW56" s="7" t="s">
        <v>977</v>
      </c>
      <c r="AY56" s="7" t="s">
        <v>972</v>
      </c>
      <c r="AZ56" s="7">
        <v>0</v>
      </c>
      <c r="BA56" s="7" t="s">
        <v>1334</v>
      </c>
      <c r="BE56" s="7" t="s">
        <v>1260</v>
      </c>
      <c r="BG56" s="7" t="s">
        <v>1156</v>
      </c>
      <c r="BH56" s="7">
        <v>0</v>
      </c>
      <c r="BI56" s="7">
        <v>182</v>
      </c>
      <c r="BJ56" s="7" t="s">
        <v>1284</v>
      </c>
      <c r="BP56" s="9">
        <v>0.75</v>
      </c>
      <c r="BS56" s="7" t="s">
        <v>1344</v>
      </c>
      <c r="BU56" s="7">
        <v>60</v>
      </c>
      <c r="BW56" s="7" t="s">
        <v>982</v>
      </c>
      <c r="CC56" s="7" t="s">
        <v>976</v>
      </c>
      <c r="CE56" s="7" t="s">
        <v>990</v>
      </c>
      <c r="CF56" s="7" t="s">
        <v>1282</v>
      </c>
    </row>
    <row r="57" spans="1:84" ht="63.75" x14ac:dyDescent="0.2">
      <c r="A57" s="6" t="s">
        <v>919</v>
      </c>
      <c r="B57" s="7" t="s">
        <v>972</v>
      </c>
      <c r="C57" s="7" t="s">
        <v>1347</v>
      </c>
      <c r="D57" s="7" t="s">
        <v>973</v>
      </c>
      <c r="I57" s="7" t="s">
        <v>976</v>
      </c>
      <c r="K57" s="7" t="s">
        <v>977</v>
      </c>
      <c r="M57" s="7" t="s">
        <v>972</v>
      </c>
      <c r="N57" s="7">
        <v>15</v>
      </c>
      <c r="O57" s="7" t="s">
        <v>1260</v>
      </c>
      <c r="R57" s="7">
        <v>730</v>
      </c>
      <c r="S57" s="7">
        <v>196</v>
      </c>
      <c r="T57" s="7" t="s">
        <v>1284</v>
      </c>
      <c r="Z57" s="9">
        <v>0.5</v>
      </c>
      <c r="AC57" s="7">
        <v>168</v>
      </c>
      <c r="AD57" s="7" t="s">
        <v>982</v>
      </c>
      <c r="AJ57" s="7" t="s">
        <v>976</v>
      </c>
      <c r="AL57" s="7" t="s">
        <v>3567</v>
      </c>
      <c r="AM57" s="7" t="s">
        <v>972</v>
      </c>
      <c r="AN57" s="7" t="s">
        <v>1333</v>
      </c>
      <c r="AP57" s="7" t="s">
        <v>973</v>
      </c>
      <c r="AU57" s="7" t="s">
        <v>976</v>
      </c>
      <c r="AW57" s="7" t="s">
        <v>977</v>
      </c>
      <c r="AY57" s="7" t="s">
        <v>972</v>
      </c>
      <c r="AZ57" s="7">
        <v>15</v>
      </c>
      <c r="BA57" s="7" t="s">
        <v>1334</v>
      </c>
      <c r="BC57" s="7" t="s">
        <v>1342</v>
      </c>
      <c r="BE57" s="7" t="s">
        <v>1260</v>
      </c>
      <c r="BH57" s="7">
        <v>730</v>
      </c>
      <c r="BI57" s="7">
        <v>371</v>
      </c>
      <c r="BJ57" s="7" t="s">
        <v>1284</v>
      </c>
      <c r="BP57" s="9">
        <v>0.75</v>
      </c>
      <c r="BS57" s="7" t="s">
        <v>1344</v>
      </c>
      <c r="BU57" s="7">
        <v>60</v>
      </c>
      <c r="BW57" s="7" t="s">
        <v>982</v>
      </c>
      <c r="CC57" s="7" t="s">
        <v>976</v>
      </c>
      <c r="CE57" s="7" t="s">
        <v>990</v>
      </c>
      <c r="CF57" s="7" t="s">
        <v>973</v>
      </c>
    </row>
    <row r="58" spans="1:84" x14ac:dyDescent="0.2">
      <c r="A58" s="14" t="s">
        <v>929</v>
      </c>
      <c r="B58" s="15" t="s">
        <v>976</v>
      </c>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t="s">
        <v>972</v>
      </c>
      <c r="AN58" s="15" t="s">
        <v>1333</v>
      </c>
      <c r="AO58" s="15"/>
      <c r="AP58" s="15" t="s">
        <v>1003</v>
      </c>
      <c r="AQ58" s="15"/>
      <c r="AR58" s="15" t="s">
        <v>1166</v>
      </c>
      <c r="AS58" s="15"/>
      <c r="AT58" s="15"/>
      <c r="AU58" s="15" t="s">
        <v>976</v>
      </c>
      <c r="AV58" s="15"/>
      <c r="AW58" s="15" t="s">
        <v>977</v>
      </c>
      <c r="AX58" s="15"/>
      <c r="AY58" s="15" t="s">
        <v>972</v>
      </c>
      <c r="AZ58" s="15">
        <v>0</v>
      </c>
      <c r="BA58" s="15" t="s">
        <v>1334</v>
      </c>
      <c r="BB58" s="15"/>
      <c r="BC58" s="15" t="s">
        <v>1342</v>
      </c>
      <c r="BD58" s="15"/>
      <c r="BE58" s="15" t="s">
        <v>1260</v>
      </c>
      <c r="BF58" s="15"/>
      <c r="BG58" s="15" t="s">
        <v>1156</v>
      </c>
      <c r="BH58" s="15">
        <v>0</v>
      </c>
      <c r="BI58" s="15"/>
      <c r="BJ58" s="15" t="s">
        <v>1040</v>
      </c>
      <c r="BK58" s="15" t="s">
        <v>972</v>
      </c>
      <c r="BL58" s="16">
        <v>0</v>
      </c>
      <c r="BM58" s="15"/>
      <c r="BN58" s="15"/>
      <c r="BO58" s="15"/>
      <c r="BP58" s="15"/>
      <c r="BQ58" s="15"/>
      <c r="BR58" s="16"/>
      <c r="BS58" s="15" t="s">
        <v>1344</v>
      </c>
      <c r="BT58" s="15"/>
      <c r="BU58" s="15"/>
      <c r="BV58" s="15"/>
      <c r="BW58" s="15" t="s">
        <v>982</v>
      </c>
      <c r="BX58" s="15"/>
      <c r="BY58" s="15"/>
      <c r="BZ58" s="15"/>
      <c r="CA58" s="15"/>
      <c r="CB58" s="15"/>
      <c r="CC58" s="15" t="s">
        <v>976</v>
      </c>
      <c r="CD58" s="15"/>
      <c r="CE58" s="15" t="s">
        <v>1268</v>
      </c>
      <c r="CF58" s="15"/>
    </row>
    <row r="59" spans="1:84" s="12" customFormat="1" ht="25.5" x14ac:dyDescent="0.2">
      <c r="A59" s="6" t="s">
        <v>943</v>
      </c>
      <c r="B59" s="7" t="s">
        <v>972</v>
      </c>
      <c r="C59" s="7" t="s">
        <v>1338</v>
      </c>
      <c r="D59" s="7" t="s">
        <v>973</v>
      </c>
      <c r="E59" s="7"/>
      <c r="F59" s="7"/>
      <c r="G59" s="7"/>
      <c r="H59" s="7"/>
      <c r="I59" s="7" t="s">
        <v>976</v>
      </c>
      <c r="J59" s="7"/>
      <c r="K59" s="7" t="s">
        <v>977</v>
      </c>
      <c r="L59" s="7"/>
      <c r="M59" s="7" t="s">
        <v>972</v>
      </c>
      <c r="N59" s="7">
        <v>0</v>
      </c>
      <c r="O59" s="7" t="s">
        <v>3565</v>
      </c>
      <c r="P59" s="7"/>
      <c r="Q59" s="7" t="s">
        <v>1191</v>
      </c>
      <c r="R59" s="7">
        <v>91</v>
      </c>
      <c r="S59" s="7">
        <v>0</v>
      </c>
      <c r="T59" s="7" t="s">
        <v>1261</v>
      </c>
      <c r="U59" s="7"/>
      <c r="V59" s="7"/>
      <c r="W59" s="7">
        <v>1</v>
      </c>
      <c r="X59" s="7"/>
      <c r="Y59" s="7"/>
      <c r="Z59" s="7"/>
      <c r="AA59" s="7" t="s">
        <v>1374</v>
      </c>
      <c r="AB59" s="7"/>
      <c r="AC59" s="7">
        <v>182</v>
      </c>
      <c r="AD59" s="7" t="s">
        <v>982</v>
      </c>
      <c r="AE59" s="7"/>
      <c r="AF59" s="7"/>
      <c r="AG59" s="7"/>
      <c r="AH59" s="7"/>
      <c r="AI59" s="7"/>
      <c r="AJ59" s="7" t="s">
        <v>976</v>
      </c>
      <c r="AK59" s="7"/>
      <c r="AL59" s="7" t="s">
        <v>1176</v>
      </c>
      <c r="AM59" s="7" t="s">
        <v>972</v>
      </c>
      <c r="AN59" s="7" t="s">
        <v>1333</v>
      </c>
      <c r="AO59" s="7"/>
      <c r="AP59" s="7" t="s">
        <v>1003</v>
      </c>
      <c r="AQ59" s="7"/>
      <c r="AR59" s="7" t="s">
        <v>1166</v>
      </c>
      <c r="AS59" s="7"/>
      <c r="AT59" s="7"/>
      <c r="AU59" s="7" t="s">
        <v>976</v>
      </c>
      <c r="AV59" s="7"/>
      <c r="AW59" s="7" t="s">
        <v>977</v>
      </c>
      <c r="AX59" s="7"/>
      <c r="AY59" s="7" t="s">
        <v>972</v>
      </c>
      <c r="AZ59" s="7">
        <v>0</v>
      </c>
      <c r="BA59" s="7" t="s">
        <v>1334</v>
      </c>
      <c r="BB59" s="7"/>
      <c r="BC59" s="7" t="s">
        <v>1342</v>
      </c>
      <c r="BD59" s="7"/>
      <c r="BE59" s="7" t="s">
        <v>1279</v>
      </c>
      <c r="BF59" s="7"/>
      <c r="BG59" s="7" t="s">
        <v>1156</v>
      </c>
      <c r="BH59" s="7">
        <v>273</v>
      </c>
      <c r="BI59" s="7">
        <v>182</v>
      </c>
      <c r="BJ59" s="7" t="s">
        <v>1284</v>
      </c>
      <c r="BK59" s="7"/>
      <c r="BL59" s="8"/>
      <c r="BM59" s="7"/>
      <c r="BN59" s="7"/>
      <c r="BO59" s="7"/>
      <c r="BP59" s="9">
        <v>0.66</v>
      </c>
      <c r="BQ59" s="7"/>
      <c r="BR59" s="8"/>
      <c r="BS59" s="7" t="s">
        <v>1336</v>
      </c>
      <c r="BT59" s="7"/>
      <c r="BU59" s="7"/>
      <c r="BV59" s="7"/>
      <c r="BW59" s="7" t="s">
        <v>982</v>
      </c>
      <c r="BX59" s="7"/>
      <c r="BY59" s="7"/>
      <c r="BZ59" s="7"/>
      <c r="CA59" s="7"/>
      <c r="CB59" s="7"/>
      <c r="CC59" s="7" t="s">
        <v>976</v>
      </c>
      <c r="CD59" s="7"/>
      <c r="CE59" s="7" t="s">
        <v>990</v>
      </c>
      <c r="CF59" s="7" t="s">
        <v>1282</v>
      </c>
    </row>
    <row r="60" spans="1:84" s="12" customFormat="1" x14ac:dyDescent="0.2">
      <c r="A60" s="6" t="s">
        <v>953</v>
      </c>
      <c r="B60" s="7" t="s">
        <v>1023</v>
      </c>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t="s">
        <v>972</v>
      </c>
      <c r="AN60" s="7" t="s">
        <v>1333</v>
      </c>
      <c r="AO60" s="7"/>
      <c r="AP60" s="7" t="s">
        <v>1003</v>
      </c>
      <c r="AQ60" s="7"/>
      <c r="AR60" s="7" t="s">
        <v>1166</v>
      </c>
      <c r="AS60" s="7"/>
      <c r="AT60" s="7"/>
      <c r="AU60" s="7" t="s">
        <v>976</v>
      </c>
      <c r="AV60" s="7"/>
      <c r="AW60" s="7" t="s">
        <v>977</v>
      </c>
      <c r="AX60" s="7"/>
      <c r="AY60" s="7" t="s">
        <v>972</v>
      </c>
      <c r="AZ60" s="7">
        <v>0</v>
      </c>
      <c r="BA60" s="7" t="s">
        <v>1334</v>
      </c>
      <c r="BB60" s="7"/>
      <c r="BC60" s="7" t="s">
        <v>1335</v>
      </c>
      <c r="BD60" s="7"/>
      <c r="BE60" s="7" t="s">
        <v>1260</v>
      </c>
      <c r="BF60" s="7"/>
      <c r="BG60" s="7" t="s">
        <v>1191</v>
      </c>
      <c r="BH60" s="7">
        <v>0</v>
      </c>
      <c r="BI60" s="7">
        <v>91</v>
      </c>
      <c r="BJ60" s="7" t="s">
        <v>1284</v>
      </c>
      <c r="BK60" s="7"/>
      <c r="BL60" s="8"/>
      <c r="BM60" s="7"/>
      <c r="BN60" s="7"/>
      <c r="BO60" s="7"/>
      <c r="BP60" s="9">
        <v>0.75</v>
      </c>
      <c r="BQ60" s="7"/>
      <c r="BR60" s="8">
        <v>350000</v>
      </c>
      <c r="BS60" s="7" t="s">
        <v>1336</v>
      </c>
      <c r="BT60" s="7"/>
      <c r="BU60" s="7"/>
      <c r="BV60" s="7"/>
      <c r="BW60" s="7" t="s">
        <v>982</v>
      </c>
      <c r="BX60" s="7"/>
      <c r="BY60" s="7"/>
      <c r="BZ60" s="7"/>
      <c r="CA60" s="7"/>
      <c r="CB60" s="7"/>
      <c r="CC60" s="7" t="s">
        <v>976</v>
      </c>
      <c r="CD60" s="7"/>
      <c r="CE60" s="7" t="s">
        <v>1263</v>
      </c>
      <c r="CF60" s="7"/>
    </row>
    <row r="61" spans="1:84" s="12" customFormat="1" x14ac:dyDescent="0.2">
      <c r="A61" s="20" t="s">
        <v>3541</v>
      </c>
      <c r="B61" s="21">
        <f>COUNTA(B3:B60)</f>
        <v>58</v>
      </c>
      <c r="C61" s="21">
        <f t="shared" ref="C61:BN61" si="0">COUNTA(C3:C60)</f>
        <v>32</v>
      </c>
      <c r="D61" s="21">
        <f t="shared" si="0"/>
        <v>32</v>
      </c>
      <c r="E61" s="21">
        <f t="shared" si="0"/>
        <v>7</v>
      </c>
      <c r="F61" s="21">
        <f t="shared" si="0"/>
        <v>1</v>
      </c>
      <c r="G61" s="21">
        <f t="shared" si="0"/>
        <v>0</v>
      </c>
      <c r="H61" s="21">
        <f t="shared" si="0"/>
        <v>0</v>
      </c>
      <c r="I61" s="21">
        <f t="shared" si="0"/>
        <v>33</v>
      </c>
      <c r="J61" s="21">
        <f t="shared" si="0"/>
        <v>2</v>
      </c>
      <c r="K61" s="21">
        <f t="shared" si="0"/>
        <v>34</v>
      </c>
      <c r="L61" s="21">
        <f t="shared" si="0"/>
        <v>0</v>
      </c>
      <c r="M61" s="21">
        <f t="shared" si="0"/>
        <v>34</v>
      </c>
      <c r="N61" s="21">
        <f t="shared" si="0"/>
        <v>26</v>
      </c>
      <c r="O61" s="21">
        <f t="shared" si="0"/>
        <v>31</v>
      </c>
      <c r="P61" s="21">
        <f t="shared" si="0"/>
        <v>1</v>
      </c>
      <c r="Q61" s="21">
        <f t="shared" si="0"/>
        <v>32</v>
      </c>
      <c r="R61" s="21">
        <f t="shared" si="0"/>
        <v>31</v>
      </c>
      <c r="S61" s="21">
        <f t="shared" si="0"/>
        <v>30</v>
      </c>
      <c r="T61" s="21">
        <f t="shared" si="0"/>
        <v>33</v>
      </c>
      <c r="U61" s="21">
        <f t="shared" si="0"/>
        <v>0</v>
      </c>
      <c r="V61" s="21">
        <f t="shared" si="0"/>
        <v>0</v>
      </c>
      <c r="W61" s="21">
        <f t="shared" si="0"/>
        <v>6</v>
      </c>
      <c r="X61" s="21">
        <f t="shared" si="0"/>
        <v>4</v>
      </c>
      <c r="Y61" s="21">
        <f t="shared" si="0"/>
        <v>1</v>
      </c>
      <c r="Z61" s="21">
        <f t="shared" si="0"/>
        <v>20</v>
      </c>
      <c r="AA61" s="21">
        <f t="shared" si="0"/>
        <v>8</v>
      </c>
      <c r="AB61" s="21">
        <f t="shared" si="0"/>
        <v>10</v>
      </c>
      <c r="AC61" s="21">
        <f t="shared" si="0"/>
        <v>27</v>
      </c>
      <c r="AD61" s="21">
        <f t="shared" si="0"/>
        <v>32</v>
      </c>
      <c r="AE61" s="21">
        <f t="shared" si="0"/>
        <v>0</v>
      </c>
      <c r="AF61" s="21">
        <f t="shared" si="0"/>
        <v>0</v>
      </c>
      <c r="AG61" s="21">
        <f t="shared" si="0"/>
        <v>0</v>
      </c>
      <c r="AH61" s="21">
        <f t="shared" si="0"/>
        <v>0</v>
      </c>
      <c r="AI61" s="21">
        <f t="shared" si="0"/>
        <v>0</v>
      </c>
      <c r="AJ61" s="21">
        <f t="shared" si="0"/>
        <v>34</v>
      </c>
      <c r="AK61" s="21">
        <f t="shared" si="0"/>
        <v>0</v>
      </c>
      <c r="AL61" s="21">
        <f t="shared" si="0"/>
        <v>25</v>
      </c>
      <c r="AM61" s="21">
        <f t="shared" si="0"/>
        <v>58</v>
      </c>
      <c r="AN61" s="21">
        <f t="shared" si="0"/>
        <v>53</v>
      </c>
      <c r="AO61" s="21">
        <f t="shared" si="0"/>
        <v>3</v>
      </c>
      <c r="AP61" s="21">
        <f t="shared" si="0"/>
        <v>52</v>
      </c>
      <c r="AQ61" s="21">
        <f t="shared" si="0"/>
        <v>1</v>
      </c>
      <c r="AR61" s="21">
        <f t="shared" si="0"/>
        <v>43</v>
      </c>
      <c r="AS61" s="21">
        <f t="shared" si="0"/>
        <v>0</v>
      </c>
      <c r="AT61" s="21">
        <f t="shared" si="0"/>
        <v>0</v>
      </c>
      <c r="AU61" s="21">
        <f t="shared" si="0"/>
        <v>54</v>
      </c>
      <c r="AV61" s="21">
        <f t="shared" si="0"/>
        <v>4</v>
      </c>
      <c r="AW61" s="21">
        <f t="shared" si="0"/>
        <v>54</v>
      </c>
      <c r="AX61" s="21">
        <f t="shared" si="0"/>
        <v>1</v>
      </c>
      <c r="AY61" s="21">
        <f t="shared" si="0"/>
        <v>54</v>
      </c>
      <c r="AZ61" s="21">
        <f t="shared" si="0"/>
        <v>40</v>
      </c>
      <c r="BA61" s="21">
        <f t="shared" si="0"/>
        <v>53</v>
      </c>
      <c r="BB61" s="21">
        <f t="shared" si="0"/>
        <v>0</v>
      </c>
      <c r="BC61" s="21">
        <f t="shared" si="0"/>
        <v>52</v>
      </c>
      <c r="BD61" s="21">
        <f t="shared" si="0"/>
        <v>4</v>
      </c>
      <c r="BE61" s="21">
        <f t="shared" si="0"/>
        <v>54</v>
      </c>
      <c r="BF61" s="21">
        <f t="shared" si="0"/>
        <v>2</v>
      </c>
      <c r="BG61" s="21">
        <f t="shared" si="0"/>
        <v>53</v>
      </c>
      <c r="BH61" s="21">
        <f t="shared" si="0"/>
        <v>52</v>
      </c>
      <c r="BI61" s="21">
        <f t="shared" si="0"/>
        <v>47</v>
      </c>
      <c r="BJ61" s="21">
        <f t="shared" si="0"/>
        <v>54</v>
      </c>
      <c r="BK61" s="21">
        <f t="shared" si="0"/>
        <v>2</v>
      </c>
      <c r="BL61" s="21">
        <f t="shared" si="0"/>
        <v>2</v>
      </c>
      <c r="BM61" s="21">
        <f t="shared" si="0"/>
        <v>0</v>
      </c>
      <c r="BN61" s="21">
        <f t="shared" si="0"/>
        <v>2</v>
      </c>
      <c r="BO61" s="21">
        <f t="shared" ref="BO61:CF61" si="1">COUNTA(BO3:BO60)</f>
        <v>0</v>
      </c>
      <c r="BP61" s="21">
        <f t="shared" si="1"/>
        <v>49</v>
      </c>
      <c r="BQ61" s="21">
        <f t="shared" si="1"/>
        <v>2</v>
      </c>
      <c r="BR61" s="21">
        <f t="shared" si="1"/>
        <v>14</v>
      </c>
      <c r="BS61" s="21">
        <f t="shared" si="1"/>
        <v>52</v>
      </c>
      <c r="BT61" s="21">
        <f t="shared" si="1"/>
        <v>6</v>
      </c>
      <c r="BU61" s="21">
        <f t="shared" si="1"/>
        <v>6</v>
      </c>
      <c r="BV61" s="21">
        <f t="shared" si="1"/>
        <v>1</v>
      </c>
      <c r="BW61" s="21">
        <f t="shared" si="1"/>
        <v>54</v>
      </c>
      <c r="BX61" s="21">
        <f t="shared" si="1"/>
        <v>1</v>
      </c>
      <c r="BY61" s="21">
        <f t="shared" si="1"/>
        <v>0</v>
      </c>
      <c r="BZ61" s="21">
        <f t="shared" si="1"/>
        <v>0</v>
      </c>
      <c r="CA61" s="21">
        <f t="shared" si="1"/>
        <v>0</v>
      </c>
      <c r="CB61" s="21">
        <f t="shared" si="1"/>
        <v>1</v>
      </c>
      <c r="CC61" s="21">
        <f t="shared" si="1"/>
        <v>54</v>
      </c>
      <c r="CD61" s="21">
        <f t="shared" si="1"/>
        <v>0</v>
      </c>
      <c r="CE61" s="21">
        <f t="shared" si="1"/>
        <v>53</v>
      </c>
      <c r="CF61" s="21">
        <f t="shared" si="1"/>
        <v>15</v>
      </c>
    </row>
    <row r="62" spans="1:84" s="12" customFormat="1" x14ac:dyDescent="0.2">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1"/>
      <c r="BM62" s="10"/>
      <c r="BN62" s="10"/>
      <c r="BO62" s="10"/>
      <c r="BP62" s="10"/>
      <c r="BQ62" s="10"/>
      <c r="BR62" s="11"/>
      <c r="BS62" s="10"/>
      <c r="BT62" s="10"/>
      <c r="BU62" s="10"/>
      <c r="BV62" s="10"/>
      <c r="BW62" s="10"/>
      <c r="BX62" s="10"/>
      <c r="BY62" s="10"/>
      <c r="BZ62" s="10"/>
      <c r="CA62" s="10"/>
      <c r="CB62" s="10"/>
      <c r="CC62" s="10"/>
      <c r="CD62" s="10"/>
      <c r="CE62" s="10"/>
      <c r="CF62" s="10"/>
    </row>
    <row r="63" spans="1:84" s="12" customFormat="1" x14ac:dyDescent="0.2">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1"/>
      <c r="BM63" s="10"/>
      <c r="BN63" s="10"/>
      <c r="BO63" s="10"/>
      <c r="BP63" s="10"/>
      <c r="BQ63" s="10"/>
      <c r="BR63" s="11"/>
      <c r="BS63" s="10"/>
      <c r="BT63" s="10"/>
      <c r="BU63" s="10"/>
      <c r="BV63" s="10"/>
      <c r="BW63" s="10"/>
      <c r="BX63" s="10"/>
      <c r="BY63" s="10"/>
      <c r="BZ63" s="10"/>
      <c r="CA63" s="10"/>
      <c r="CB63" s="10"/>
      <c r="CC63" s="10"/>
      <c r="CD63" s="10"/>
      <c r="CE63" s="10"/>
      <c r="CF63" s="10"/>
    </row>
    <row r="64" spans="1:84" s="12" customFormat="1" x14ac:dyDescent="0.2">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1"/>
      <c r="BM64" s="10"/>
      <c r="BN64" s="10"/>
      <c r="BO64" s="10"/>
      <c r="BP64" s="10"/>
      <c r="BQ64" s="10"/>
      <c r="BR64" s="11"/>
      <c r="BS64" s="10"/>
      <c r="BT64" s="10"/>
      <c r="BU64" s="10"/>
      <c r="BV64" s="10"/>
      <c r="BW64" s="10"/>
      <c r="BX64" s="10"/>
      <c r="BY64" s="10"/>
      <c r="BZ64" s="10"/>
      <c r="CA64" s="10"/>
      <c r="CB64" s="10"/>
      <c r="CC64" s="10"/>
      <c r="CD64" s="10"/>
      <c r="CE64" s="10"/>
      <c r="CF64" s="10"/>
    </row>
    <row r="65" spans="2:84" s="12" customFormat="1" x14ac:dyDescent="0.2">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1"/>
      <c r="BM65" s="10"/>
      <c r="BN65" s="10"/>
      <c r="BO65" s="10"/>
      <c r="BP65" s="10"/>
      <c r="BQ65" s="10"/>
      <c r="BR65" s="11"/>
      <c r="BS65" s="10"/>
      <c r="BT65" s="10"/>
      <c r="BU65" s="10"/>
      <c r="BV65" s="10"/>
      <c r="BW65" s="10"/>
      <c r="BX65" s="10"/>
      <c r="BY65" s="10"/>
      <c r="BZ65" s="10"/>
      <c r="CA65" s="10"/>
      <c r="CB65" s="10"/>
      <c r="CC65" s="10"/>
      <c r="CD65" s="10"/>
      <c r="CE65" s="10"/>
      <c r="CF65" s="10"/>
    </row>
    <row r="66" spans="2:84" s="12" customFormat="1" x14ac:dyDescent="0.2">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1"/>
      <c r="BM66" s="10"/>
      <c r="BN66" s="10"/>
      <c r="BO66" s="10"/>
      <c r="BP66" s="10"/>
      <c r="BQ66" s="10"/>
      <c r="BR66" s="11"/>
      <c r="BS66" s="10"/>
      <c r="BT66" s="10"/>
      <c r="BU66" s="10"/>
      <c r="BV66" s="10"/>
      <c r="BW66" s="10"/>
      <c r="BX66" s="10"/>
      <c r="BY66" s="10"/>
      <c r="BZ66" s="10"/>
      <c r="CA66" s="10"/>
      <c r="CB66" s="10"/>
      <c r="CC66" s="10"/>
      <c r="CD66" s="10"/>
      <c r="CE66" s="10"/>
      <c r="CF66" s="10"/>
    </row>
    <row r="67" spans="2:84" s="12" customFormat="1" x14ac:dyDescent="0.2">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1"/>
      <c r="BM67" s="10"/>
      <c r="BN67" s="10"/>
      <c r="BO67" s="10"/>
      <c r="BP67" s="10"/>
      <c r="BQ67" s="10"/>
      <c r="BR67" s="11"/>
      <c r="BS67" s="10"/>
      <c r="BT67" s="10"/>
      <c r="BU67" s="10"/>
      <c r="BV67" s="10"/>
      <c r="BW67" s="10"/>
      <c r="BX67" s="10"/>
      <c r="BY67" s="10"/>
      <c r="BZ67" s="10"/>
      <c r="CA67" s="10"/>
      <c r="CB67" s="10"/>
      <c r="CC67" s="10"/>
      <c r="CD67" s="10"/>
      <c r="CE67" s="10"/>
      <c r="CF67" s="10"/>
    </row>
    <row r="68" spans="2:84" s="12" customFormat="1" x14ac:dyDescent="0.2">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1"/>
      <c r="BM68" s="10"/>
      <c r="BN68" s="10"/>
      <c r="BO68" s="10"/>
      <c r="BP68" s="10"/>
      <c r="BQ68" s="10"/>
      <c r="BR68" s="11"/>
      <c r="BS68" s="10"/>
      <c r="BT68" s="10"/>
      <c r="BU68" s="10"/>
      <c r="BV68" s="10"/>
      <c r="BW68" s="10"/>
      <c r="BX68" s="10"/>
      <c r="BY68" s="10"/>
      <c r="BZ68" s="10"/>
      <c r="CA68" s="10"/>
      <c r="CB68" s="10"/>
      <c r="CC68" s="10"/>
      <c r="CD68" s="10"/>
      <c r="CE68" s="10"/>
      <c r="CF68" s="10"/>
    </row>
  </sheetData>
  <autoFilter ref="A2:CF61" xr:uid="{00000000-0009-0000-0000-000005000000}"/>
  <sortState xmlns:xlrd2="http://schemas.microsoft.com/office/spreadsheetml/2017/richdata2" ref="A3:CF60">
    <sortCondition ref="A3:A60"/>
  </sortState>
  <conditionalFormatting sqref="A3:A59">
    <cfRule type="duplicateValues" dxfId="23" priority="2"/>
    <cfRule type="duplicateValues" dxfId="22" priority="3"/>
  </conditionalFormatting>
  <conditionalFormatting sqref="A60">
    <cfRule type="duplicateValues" dxfId="21" priority="1"/>
  </conditionalFormatting>
  <hyperlinks>
    <hyperlink ref="A1" location="Index!A1" display="Back to Index"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H71"/>
  <sheetViews>
    <sheetView zoomScaleNormal="100" workbookViewId="0">
      <pane xSplit="1" ySplit="2" topLeftCell="B3" activePane="bottomRight" state="frozen"/>
      <selection sqref="A1:B1"/>
      <selection pane="topRight" sqref="A1:B1"/>
      <selection pane="bottomLeft" sqref="A1:B1"/>
      <selection pane="bottomRight" activeCell="B3" sqref="B3"/>
    </sheetView>
  </sheetViews>
  <sheetFormatPr defaultRowHeight="12.75" x14ac:dyDescent="0.2"/>
  <cols>
    <col min="1" max="1" width="13.5703125" style="34" bestFit="1" customWidth="1"/>
    <col min="2" max="4" width="30.7109375" style="35" customWidth="1"/>
    <col min="5" max="5" width="60.7109375" style="35" customWidth="1"/>
    <col min="6" max="75" width="30.7109375" style="35" customWidth="1"/>
    <col min="76" max="76" width="75.7109375" style="35" customWidth="1"/>
    <col min="77" max="86" width="30.7109375" style="35" customWidth="1"/>
    <col min="87" max="16384" width="9.140625" style="34"/>
  </cols>
  <sheetData>
    <row r="1" spans="1:86" s="33" customFormat="1" x14ac:dyDescent="0.2">
      <c r="A1" s="31" t="s">
        <v>969</v>
      </c>
      <c r="B1" s="32" t="s">
        <v>348</v>
      </c>
      <c r="C1" s="32" t="s">
        <v>349</v>
      </c>
      <c r="D1" s="32" t="s">
        <v>350</v>
      </c>
      <c r="E1" s="32" t="s">
        <v>351</v>
      </c>
      <c r="F1" s="32" t="s">
        <v>352</v>
      </c>
      <c r="G1" s="32" t="s">
        <v>353</v>
      </c>
      <c r="H1" s="32" t="s">
        <v>354</v>
      </c>
      <c r="I1" s="32" t="s">
        <v>355</v>
      </c>
      <c r="J1" s="32" t="s">
        <v>356</v>
      </c>
      <c r="K1" s="32" t="s">
        <v>357</v>
      </c>
      <c r="L1" s="32" t="s">
        <v>358</v>
      </c>
      <c r="M1" s="32" t="s">
        <v>359</v>
      </c>
      <c r="N1" s="32" t="s">
        <v>360</v>
      </c>
      <c r="O1" s="32" t="s">
        <v>361</v>
      </c>
      <c r="P1" s="32" t="s">
        <v>362</v>
      </c>
      <c r="Q1" s="32" t="s">
        <v>363</v>
      </c>
      <c r="R1" s="32" t="s">
        <v>364</v>
      </c>
      <c r="S1" s="32" t="s">
        <v>365</v>
      </c>
      <c r="T1" s="32" t="s">
        <v>366</v>
      </c>
      <c r="U1" s="32" t="s">
        <v>367</v>
      </c>
      <c r="V1" s="32" t="s">
        <v>368</v>
      </c>
      <c r="W1" s="32" t="s">
        <v>369</v>
      </c>
      <c r="X1" s="32" t="s">
        <v>370</v>
      </c>
      <c r="Y1" s="32" t="s">
        <v>371</v>
      </c>
      <c r="Z1" s="32" t="s">
        <v>372</v>
      </c>
      <c r="AA1" s="32" t="s">
        <v>373</v>
      </c>
      <c r="AB1" s="32" t="s">
        <v>374</v>
      </c>
      <c r="AC1" s="32" t="s">
        <v>375</v>
      </c>
      <c r="AD1" s="32" t="s">
        <v>376</v>
      </c>
      <c r="AE1" s="32" t="s">
        <v>377</v>
      </c>
      <c r="AF1" s="32" t="s">
        <v>378</v>
      </c>
      <c r="AG1" s="32" t="s">
        <v>379</v>
      </c>
      <c r="AH1" s="32" t="s">
        <v>380</v>
      </c>
      <c r="AI1" s="32" t="s">
        <v>381</v>
      </c>
      <c r="AJ1" s="32" t="s">
        <v>382</v>
      </c>
      <c r="AK1" s="32" t="s">
        <v>383</v>
      </c>
      <c r="AL1" s="32" t="s">
        <v>384</v>
      </c>
      <c r="AM1" s="32" t="s">
        <v>385</v>
      </c>
      <c r="AN1" s="32" t="s">
        <v>386</v>
      </c>
      <c r="AO1" s="32" t="s">
        <v>387</v>
      </c>
      <c r="AP1" s="32" t="s">
        <v>388</v>
      </c>
      <c r="AQ1" s="32" t="s">
        <v>389</v>
      </c>
      <c r="AR1" s="32" t="s">
        <v>390</v>
      </c>
      <c r="AS1" s="32" t="s">
        <v>391</v>
      </c>
      <c r="AT1" s="32" t="s">
        <v>392</v>
      </c>
      <c r="AU1" s="32" t="s">
        <v>393</v>
      </c>
      <c r="AV1" s="32" t="s">
        <v>394</v>
      </c>
      <c r="AW1" s="32" t="s">
        <v>395</v>
      </c>
      <c r="AX1" s="32" t="s">
        <v>396</v>
      </c>
      <c r="AY1" s="32" t="s">
        <v>397</v>
      </c>
      <c r="AZ1" s="32" t="s">
        <v>398</v>
      </c>
      <c r="BA1" s="32" t="s">
        <v>399</v>
      </c>
      <c r="BB1" s="32" t="s">
        <v>400</v>
      </c>
      <c r="BC1" s="32" t="s">
        <v>401</v>
      </c>
      <c r="BD1" s="32" t="s">
        <v>402</v>
      </c>
      <c r="BE1" s="32" t="s">
        <v>403</v>
      </c>
      <c r="BF1" s="32" t="s">
        <v>404</v>
      </c>
      <c r="BG1" s="32" t="s">
        <v>405</v>
      </c>
      <c r="BH1" s="32" t="s">
        <v>406</v>
      </c>
      <c r="BI1" s="32" t="s">
        <v>407</v>
      </c>
      <c r="BJ1" s="32" t="s">
        <v>408</v>
      </c>
      <c r="BK1" s="32" t="s">
        <v>409</v>
      </c>
      <c r="BL1" s="32" t="s">
        <v>410</v>
      </c>
      <c r="BM1" s="32" t="s">
        <v>411</v>
      </c>
      <c r="BN1" s="32" t="s">
        <v>412</v>
      </c>
      <c r="BO1" s="32" t="s">
        <v>413</v>
      </c>
      <c r="BP1" s="32" t="s">
        <v>414</v>
      </c>
      <c r="BQ1" s="32" t="s">
        <v>415</v>
      </c>
      <c r="BR1" s="32" t="s">
        <v>416</v>
      </c>
      <c r="BS1" s="32" t="s">
        <v>417</v>
      </c>
      <c r="BT1" s="32" t="s">
        <v>418</v>
      </c>
      <c r="BU1" s="32" t="s">
        <v>419</v>
      </c>
      <c r="BV1" s="32" t="s">
        <v>420</v>
      </c>
      <c r="BW1" s="32" t="s">
        <v>421</v>
      </c>
      <c r="BX1" s="32" t="s">
        <v>422</v>
      </c>
      <c r="BY1" s="32" t="s">
        <v>423</v>
      </c>
      <c r="BZ1" s="32" t="s">
        <v>424</v>
      </c>
      <c r="CA1" s="32" t="s">
        <v>425</v>
      </c>
      <c r="CB1" s="32" t="s">
        <v>426</v>
      </c>
      <c r="CC1" s="32" t="s">
        <v>427</v>
      </c>
      <c r="CD1" s="32" t="s">
        <v>428</v>
      </c>
      <c r="CE1" s="32" t="s">
        <v>429</v>
      </c>
      <c r="CF1" s="32" t="s">
        <v>430</v>
      </c>
      <c r="CG1" s="32" t="s">
        <v>431</v>
      </c>
      <c r="CH1" s="32" t="s">
        <v>432</v>
      </c>
    </row>
    <row r="2" spans="1:86" s="33" customFormat="1" ht="51" x14ac:dyDescent="0.2">
      <c r="A2" s="33" t="s">
        <v>968</v>
      </c>
      <c r="B2" s="4" t="s">
        <v>2908</v>
      </c>
      <c r="C2" s="32" t="s">
        <v>2909</v>
      </c>
      <c r="D2" s="4" t="s">
        <v>2910</v>
      </c>
      <c r="E2" s="4" t="s">
        <v>2911</v>
      </c>
      <c r="F2" s="32" t="s">
        <v>2912</v>
      </c>
      <c r="G2" s="32" t="s">
        <v>2913</v>
      </c>
      <c r="H2" s="4" t="s">
        <v>2914</v>
      </c>
      <c r="I2" s="4" t="s">
        <v>2915</v>
      </c>
      <c r="J2" s="32" t="s">
        <v>2916</v>
      </c>
      <c r="K2" s="32" t="s">
        <v>2917</v>
      </c>
      <c r="L2" s="4" t="s">
        <v>2918</v>
      </c>
      <c r="M2" s="4" t="s">
        <v>2919</v>
      </c>
      <c r="N2" s="32" t="s">
        <v>2920</v>
      </c>
      <c r="O2" s="32" t="s">
        <v>2921</v>
      </c>
      <c r="P2" s="4" t="s">
        <v>2922</v>
      </c>
      <c r="Q2" s="32" t="s">
        <v>2747</v>
      </c>
      <c r="R2" s="4" t="s">
        <v>2923</v>
      </c>
      <c r="S2" s="4" t="s">
        <v>2924</v>
      </c>
      <c r="T2" s="32" t="s">
        <v>2925</v>
      </c>
      <c r="U2" s="32" t="s">
        <v>2926</v>
      </c>
      <c r="V2" s="4" t="s">
        <v>2927</v>
      </c>
      <c r="W2" s="4" t="s">
        <v>2928</v>
      </c>
      <c r="X2" s="4" t="s">
        <v>2929</v>
      </c>
      <c r="Y2" s="4" t="s">
        <v>2930</v>
      </c>
      <c r="Z2" s="4" t="s">
        <v>2931</v>
      </c>
      <c r="AA2" s="4" t="s">
        <v>2932</v>
      </c>
      <c r="AB2" s="4" t="s">
        <v>2933</v>
      </c>
      <c r="AC2" s="32" t="s">
        <v>2934</v>
      </c>
      <c r="AD2" s="32" t="s">
        <v>2935</v>
      </c>
      <c r="AE2" s="32" t="s">
        <v>3441</v>
      </c>
      <c r="AF2" s="32" t="s">
        <v>3439</v>
      </c>
      <c r="AG2" s="4" t="s">
        <v>2936</v>
      </c>
      <c r="AH2" s="4" t="s">
        <v>2937</v>
      </c>
      <c r="AI2" s="32" t="s">
        <v>2938</v>
      </c>
      <c r="AJ2" s="32" t="s">
        <v>2939</v>
      </c>
      <c r="AK2" s="4" t="s">
        <v>2940</v>
      </c>
      <c r="AL2" s="32" t="s">
        <v>2941</v>
      </c>
      <c r="AM2" s="32" t="s">
        <v>3440</v>
      </c>
      <c r="AN2" s="4" t="s">
        <v>2942</v>
      </c>
      <c r="AO2" s="4" t="s">
        <v>2943</v>
      </c>
      <c r="AP2" s="32" t="s">
        <v>2944</v>
      </c>
      <c r="AQ2" s="32" t="s">
        <v>2945</v>
      </c>
      <c r="AR2" s="4" t="s">
        <v>2916</v>
      </c>
      <c r="AS2" s="4" t="s">
        <v>2917</v>
      </c>
      <c r="AT2" s="32" t="s">
        <v>2918</v>
      </c>
      <c r="AU2" s="32" t="s">
        <v>2919</v>
      </c>
      <c r="AV2" s="4" t="s">
        <v>2920</v>
      </c>
      <c r="AW2" s="4" t="s">
        <v>2921</v>
      </c>
      <c r="AX2" s="32" t="s">
        <v>2946</v>
      </c>
      <c r="AY2" s="4" t="s">
        <v>2747</v>
      </c>
      <c r="AZ2" s="32" t="s">
        <v>2947</v>
      </c>
      <c r="BA2" s="4" t="s">
        <v>2923</v>
      </c>
      <c r="BB2" s="32" t="s">
        <v>2948</v>
      </c>
      <c r="BC2" s="32" t="s">
        <v>2949</v>
      </c>
      <c r="BD2" s="32" t="s">
        <v>2950</v>
      </c>
      <c r="BE2" s="32" t="s">
        <v>2951</v>
      </c>
      <c r="BF2" s="4" t="s">
        <v>2952</v>
      </c>
      <c r="BG2" s="4" t="s">
        <v>2935</v>
      </c>
      <c r="BH2" s="4" t="s">
        <v>3441</v>
      </c>
      <c r="BI2" s="4" t="s">
        <v>3439</v>
      </c>
      <c r="BJ2" s="32" t="s">
        <v>2953</v>
      </c>
      <c r="BK2" s="4" t="s">
        <v>2954</v>
      </c>
      <c r="BL2" s="4" t="s">
        <v>2955</v>
      </c>
      <c r="BM2" s="32" t="s">
        <v>2956</v>
      </c>
      <c r="BN2" s="4" t="s">
        <v>2957</v>
      </c>
      <c r="BO2" s="32" t="s">
        <v>2958</v>
      </c>
      <c r="BP2" s="4" t="s">
        <v>3442</v>
      </c>
      <c r="BQ2" s="32" t="s">
        <v>2959</v>
      </c>
      <c r="BR2" s="4" t="s">
        <v>2960</v>
      </c>
      <c r="BS2" s="32" t="s">
        <v>2961</v>
      </c>
      <c r="BT2" s="32" t="s">
        <v>2962</v>
      </c>
      <c r="BU2" s="4" t="s">
        <v>2963</v>
      </c>
      <c r="BV2" s="4" t="s">
        <v>3443</v>
      </c>
      <c r="BW2" s="32" t="s">
        <v>3444</v>
      </c>
      <c r="BX2" s="4" t="s">
        <v>3445</v>
      </c>
      <c r="BY2" s="32" t="s">
        <v>3446</v>
      </c>
      <c r="BZ2" s="4" t="s">
        <v>2964</v>
      </c>
      <c r="CA2" s="4" t="s">
        <v>2965</v>
      </c>
      <c r="CB2" s="32" t="s">
        <v>2966</v>
      </c>
      <c r="CC2" s="32" t="s">
        <v>2967</v>
      </c>
      <c r="CD2" s="4" t="s">
        <v>2968</v>
      </c>
      <c r="CE2" s="32" t="s">
        <v>2969</v>
      </c>
      <c r="CF2" s="32" t="s">
        <v>2970</v>
      </c>
      <c r="CG2" s="4" t="s">
        <v>2971</v>
      </c>
      <c r="CH2" s="32" t="s">
        <v>3447</v>
      </c>
    </row>
    <row r="3" spans="1:86" ht="51" x14ac:dyDescent="0.2">
      <c r="A3" s="34" t="s">
        <v>922</v>
      </c>
      <c r="B3" s="35" t="s">
        <v>972</v>
      </c>
      <c r="C3" s="35" t="s">
        <v>1430</v>
      </c>
      <c r="D3" s="35" t="s">
        <v>972</v>
      </c>
      <c r="E3" s="35" t="s">
        <v>1431</v>
      </c>
      <c r="F3" s="35" t="s">
        <v>1395</v>
      </c>
      <c r="BX3" s="35" t="s">
        <v>3573</v>
      </c>
    </row>
    <row r="4" spans="1:86" ht="38.25" x14ac:dyDescent="0.2">
      <c r="A4" s="34" t="s">
        <v>930</v>
      </c>
      <c r="B4" s="35" t="s">
        <v>972</v>
      </c>
      <c r="C4" s="35" t="s">
        <v>1393</v>
      </c>
      <c r="D4" s="35" t="s">
        <v>972</v>
      </c>
      <c r="E4" s="35" t="s">
        <v>1400</v>
      </c>
      <c r="F4" s="35" t="s">
        <v>1395</v>
      </c>
      <c r="H4" s="35" t="s">
        <v>976</v>
      </c>
      <c r="J4" s="35" t="s">
        <v>977</v>
      </c>
      <c r="L4" s="35" t="s">
        <v>972</v>
      </c>
      <c r="N4" s="35" t="s">
        <v>1260</v>
      </c>
      <c r="P4" s="35">
        <v>0</v>
      </c>
      <c r="Q4" s="35" t="s">
        <v>1156</v>
      </c>
      <c r="R4" s="35" t="s">
        <v>1396</v>
      </c>
      <c r="T4" s="39">
        <v>0.05</v>
      </c>
      <c r="U4" s="39">
        <v>0.05</v>
      </c>
      <c r="V4" s="35" t="s">
        <v>976</v>
      </c>
      <c r="AC4" s="35" t="s">
        <v>994</v>
      </c>
      <c r="AF4" s="35" t="s">
        <v>1441</v>
      </c>
      <c r="AG4" s="35" t="s">
        <v>1399</v>
      </c>
      <c r="AI4" s="35" t="s">
        <v>990</v>
      </c>
      <c r="AJ4" s="35" t="s">
        <v>1442</v>
      </c>
      <c r="AL4" s="35" t="s">
        <v>976</v>
      </c>
      <c r="AN4" s="35" t="s">
        <v>1406</v>
      </c>
    </row>
    <row r="5" spans="1:86" ht="51" x14ac:dyDescent="0.2">
      <c r="A5" s="34" t="s">
        <v>927</v>
      </c>
      <c r="B5" s="35" t="s">
        <v>972</v>
      </c>
      <c r="C5" s="35" t="s">
        <v>1393</v>
      </c>
      <c r="D5" s="35" t="s">
        <v>976</v>
      </c>
      <c r="F5" s="35" t="s">
        <v>1437</v>
      </c>
      <c r="H5" s="35" t="s">
        <v>976</v>
      </c>
      <c r="J5" s="35" t="s">
        <v>977</v>
      </c>
      <c r="L5" s="35" t="s">
        <v>972</v>
      </c>
      <c r="M5" s="35">
        <v>0</v>
      </c>
      <c r="N5" s="35" t="s">
        <v>1260</v>
      </c>
      <c r="P5" s="35">
        <v>0</v>
      </c>
      <c r="Q5" s="35" t="s">
        <v>1156</v>
      </c>
      <c r="R5" s="35" t="s">
        <v>1403</v>
      </c>
      <c r="V5" s="35" t="s">
        <v>972</v>
      </c>
      <c r="W5" s="35" t="s">
        <v>1438</v>
      </c>
      <c r="X5" s="35" t="s">
        <v>976</v>
      </c>
      <c r="AC5" s="35" t="s">
        <v>1398</v>
      </c>
      <c r="AL5" s="35" t="s">
        <v>976</v>
      </c>
      <c r="AN5" s="35" t="s">
        <v>1008</v>
      </c>
    </row>
    <row r="6" spans="1:86" ht="25.5" x14ac:dyDescent="0.2">
      <c r="A6" s="34" t="s">
        <v>914</v>
      </c>
      <c r="B6" s="35" t="s">
        <v>972</v>
      </c>
      <c r="C6" s="35" t="s">
        <v>1410</v>
      </c>
      <c r="D6" s="35" t="s">
        <v>976</v>
      </c>
      <c r="F6" s="35" t="s">
        <v>1395</v>
      </c>
      <c r="CB6" s="35" t="s">
        <v>977</v>
      </c>
      <c r="CD6" s="35" t="s">
        <v>1411</v>
      </c>
      <c r="CE6" s="35" t="s">
        <v>972</v>
      </c>
      <c r="CG6" s="35" t="s">
        <v>976</v>
      </c>
    </row>
    <row r="7" spans="1:86" ht="38.25" x14ac:dyDescent="0.2">
      <c r="A7" s="34" t="s">
        <v>920</v>
      </c>
      <c r="B7" s="35" t="s">
        <v>972</v>
      </c>
      <c r="C7" s="35" t="s">
        <v>1393</v>
      </c>
      <c r="D7" s="35" t="s">
        <v>976</v>
      </c>
      <c r="F7" s="35" t="s">
        <v>1395</v>
      </c>
      <c r="H7" s="35" t="s">
        <v>976</v>
      </c>
      <c r="J7" s="35" t="s">
        <v>977</v>
      </c>
      <c r="L7" s="35" t="s">
        <v>972</v>
      </c>
      <c r="M7" s="35">
        <v>20</v>
      </c>
      <c r="N7" s="35" t="s">
        <v>1260</v>
      </c>
      <c r="P7" s="35">
        <v>0</v>
      </c>
      <c r="Q7" s="35" t="s">
        <v>1156</v>
      </c>
      <c r="R7" s="35" t="s">
        <v>1428</v>
      </c>
      <c r="T7" s="39">
        <v>0.05</v>
      </c>
      <c r="AC7" s="35" t="s">
        <v>1398</v>
      </c>
      <c r="AI7" s="35" t="s">
        <v>1418</v>
      </c>
      <c r="AL7" s="35" t="s">
        <v>976</v>
      </c>
      <c r="AN7" s="35" t="s">
        <v>990</v>
      </c>
      <c r="AO7" s="35" t="s">
        <v>1415</v>
      </c>
    </row>
    <row r="8" spans="1:86" x14ac:dyDescent="0.2">
      <c r="A8" s="34" t="s">
        <v>959</v>
      </c>
      <c r="B8" s="35" t="s">
        <v>972</v>
      </c>
      <c r="C8" s="35" t="s">
        <v>1430</v>
      </c>
      <c r="D8" s="35" t="s">
        <v>972</v>
      </c>
      <c r="E8" s="35" t="s">
        <v>1400</v>
      </c>
      <c r="F8" s="35" t="s">
        <v>1395</v>
      </c>
      <c r="BX8" s="35" t="s">
        <v>1489</v>
      </c>
    </row>
    <row r="9" spans="1:86" x14ac:dyDescent="0.2">
      <c r="A9" s="34" t="s">
        <v>933</v>
      </c>
      <c r="B9" s="35" t="s">
        <v>976</v>
      </c>
      <c r="F9" s="35" t="s">
        <v>1395</v>
      </c>
    </row>
    <row r="10" spans="1:86" ht="51" x14ac:dyDescent="0.2">
      <c r="A10" s="34" t="s">
        <v>912</v>
      </c>
      <c r="B10" s="35" t="s">
        <v>972</v>
      </c>
      <c r="C10" s="35" t="s">
        <v>1393</v>
      </c>
      <c r="F10" s="35" t="s">
        <v>1395</v>
      </c>
      <c r="H10" s="35" t="s">
        <v>976</v>
      </c>
      <c r="J10" s="35" t="s">
        <v>977</v>
      </c>
      <c r="L10" s="35" t="s">
        <v>972</v>
      </c>
      <c r="N10" s="35" t="s">
        <v>1401</v>
      </c>
      <c r="O10" s="35" t="s">
        <v>1402</v>
      </c>
      <c r="P10" s="35">
        <v>0</v>
      </c>
      <c r="Q10" s="35" t="s">
        <v>1191</v>
      </c>
      <c r="R10" s="35" t="s">
        <v>1403</v>
      </c>
      <c r="V10" s="35" t="s">
        <v>972</v>
      </c>
      <c r="W10" s="35" t="s">
        <v>1404</v>
      </c>
      <c r="X10" s="35" t="s">
        <v>972</v>
      </c>
      <c r="Y10" s="35" t="s">
        <v>1145</v>
      </c>
      <c r="Z10" s="39">
        <v>0.06</v>
      </c>
      <c r="AG10" s="35" t="s">
        <v>1405</v>
      </c>
      <c r="AL10" s="35" t="s">
        <v>976</v>
      </c>
      <c r="AN10" s="35" t="s">
        <v>1406</v>
      </c>
    </row>
    <row r="11" spans="1:86" ht="51" x14ac:dyDescent="0.2">
      <c r="A11" s="34" t="s">
        <v>936</v>
      </c>
      <c r="B11" s="35" t="s">
        <v>972</v>
      </c>
      <c r="C11" s="35" t="s">
        <v>1393</v>
      </c>
      <c r="D11" s="35" t="s">
        <v>972</v>
      </c>
      <c r="E11" s="35" t="s">
        <v>1452</v>
      </c>
      <c r="F11" s="35" t="s">
        <v>1395</v>
      </c>
      <c r="H11" s="35" t="s">
        <v>976</v>
      </c>
      <c r="J11" s="35" t="s">
        <v>977</v>
      </c>
      <c r="L11" s="35" t="s">
        <v>972</v>
      </c>
      <c r="M11" s="35">
        <v>20</v>
      </c>
      <c r="N11" s="35" t="s">
        <v>1260</v>
      </c>
      <c r="P11" s="35">
        <v>0</v>
      </c>
      <c r="Q11" s="35" t="s">
        <v>1156</v>
      </c>
      <c r="R11" s="35" t="s">
        <v>1403</v>
      </c>
      <c r="V11" s="35" t="s">
        <v>972</v>
      </c>
      <c r="W11" s="35" t="s">
        <v>1453</v>
      </c>
      <c r="X11" s="35" t="s">
        <v>972</v>
      </c>
      <c r="Y11" s="35" t="s">
        <v>1145</v>
      </c>
      <c r="Z11" s="39">
        <v>0.09</v>
      </c>
      <c r="AC11" s="35" t="s">
        <v>1398</v>
      </c>
      <c r="AG11" s="35" t="s">
        <v>1420</v>
      </c>
      <c r="AI11" s="35" t="s">
        <v>990</v>
      </c>
      <c r="AJ11" s="35" t="s">
        <v>1420</v>
      </c>
      <c r="AK11" s="39">
        <v>0.7</v>
      </c>
      <c r="AL11" s="35" t="s">
        <v>976</v>
      </c>
      <c r="AN11" s="35" t="s">
        <v>1423</v>
      </c>
    </row>
    <row r="12" spans="1:86" ht="38.25" x14ac:dyDescent="0.2">
      <c r="A12" s="34" t="s">
        <v>911</v>
      </c>
      <c r="B12" s="35" t="s">
        <v>972</v>
      </c>
      <c r="C12" s="35" t="s">
        <v>1393</v>
      </c>
      <c r="D12" s="35" t="s">
        <v>972</v>
      </c>
      <c r="E12" s="35" t="s">
        <v>1394</v>
      </c>
      <c r="F12" s="35" t="s">
        <v>1395</v>
      </c>
      <c r="H12" s="35" t="s">
        <v>976</v>
      </c>
      <c r="J12" s="35" t="s">
        <v>977</v>
      </c>
      <c r="L12" s="35" t="s">
        <v>972</v>
      </c>
      <c r="M12" s="35">
        <v>0</v>
      </c>
      <c r="N12" s="35" t="s">
        <v>1260</v>
      </c>
      <c r="P12" s="35">
        <v>0</v>
      </c>
      <c r="Q12" s="35" t="s">
        <v>1156</v>
      </c>
      <c r="R12" s="35" t="s">
        <v>1396</v>
      </c>
      <c r="T12" s="39">
        <v>0.06</v>
      </c>
      <c r="U12" s="39">
        <v>0.03</v>
      </c>
      <c r="V12" s="35" t="s">
        <v>972</v>
      </c>
      <c r="W12" s="35" t="s">
        <v>1397</v>
      </c>
      <c r="X12" s="35" t="s">
        <v>972</v>
      </c>
      <c r="Y12" s="35" t="s">
        <v>1145</v>
      </c>
      <c r="Z12" s="39">
        <v>0.1</v>
      </c>
      <c r="AC12" s="35" t="s">
        <v>1398</v>
      </c>
      <c r="AG12" s="35" t="s">
        <v>1399</v>
      </c>
      <c r="AI12" s="35" t="s">
        <v>1400</v>
      </c>
      <c r="AK12" s="39">
        <v>0.94</v>
      </c>
      <c r="AL12" s="35" t="s">
        <v>976</v>
      </c>
      <c r="AN12" s="35" t="s">
        <v>1008</v>
      </c>
    </row>
    <row r="13" spans="1:86" ht="38.25" x14ac:dyDescent="0.2">
      <c r="A13" s="34" t="s">
        <v>928</v>
      </c>
      <c r="B13" s="35" t="s">
        <v>972</v>
      </c>
      <c r="C13" s="35" t="s">
        <v>1393</v>
      </c>
      <c r="D13" s="35" t="s">
        <v>972</v>
      </c>
      <c r="E13" s="35" t="s">
        <v>1439</v>
      </c>
      <c r="F13" s="35" t="s">
        <v>1395</v>
      </c>
      <c r="H13" s="35" t="s">
        <v>972</v>
      </c>
      <c r="I13" s="35">
        <v>3</v>
      </c>
      <c r="J13" s="35" t="s">
        <v>977</v>
      </c>
      <c r="L13" s="35" t="s">
        <v>972</v>
      </c>
      <c r="N13" s="35" t="s">
        <v>1429</v>
      </c>
      <c r="Q13" s="35" t="s">
        <v>1156</v>
      </c>
      <c r="R13" s="35" t="s">
        <v>1396</v>
      </c>
      <c r="T13" s="39">
        <v>0.06</v>
      </c>
      <c r="U13" s="39">
        <v>0.04</v>
      </c>
      <c r="V13" s="35" t="s">
        <v>976</v>
      </c>
      <c r="AC13" s="35" t="s">
        <v>1398</v>
      </c>
      <c r="AL13" s="35" t="s">
        <v>976</v>
      </c>
      <c r="AN13" s="35" t="s">
        <v>1406</v>
      </c>
    </row>
    <row r="14" spans="1:86" ht="51" x14ac:dyDescent="0.2">
      <c r="A14" s="34" t="s">
        <v>926</v>
      </c>
      <c r="B14" s="35" t="s">
        <v>972</v>
      </c>
      <c r="C14" s="35" t="s">
        <v>1393</v>
      </c>
      <c r="D14" s="35" t="s">
        <v>976</v>
      </c>
      <c r="F14" s="35" t="s">
        <v>1395</v>
      </c>
      <c r="H14" s="35" t="s">
        <v>976</v>
      </c>
      <c r="J14" s="35" t="s">
        <v>977</v>
      </c>
      <c r="L14" s="35" t="s">
        <v>976</v>
      </c>
      <c r="N14" s="35" t="s">
        <v>1260</v>
      </c>
      <c r="P14" s="35">
        <v>0</v>
      </c>
      <c r="Q14" s="35" t="s">
        <v>1156</v>
      </c>
      <c r="R14" s="35" t="s">
        <v>1403</v>
      </c>
      <c r="V14" s="35" t="s">
        <v>976</v>
      </c>
      <c r="AC14" s="35" t="s">
        <v>1398</v>
      </c>
      <c r="AG14" s="35" t="s">
        <v>1399</v>
      </c>
      <c r="AI14" s="35" t="s">
        <v>1400</v>
      </c>
      <c r="AK14" s="39">
        <v>0.04</v>
      </c>
      <c r="AL14" s="35" t="s">
        <v>976</v>
      </c>
    </row>
    <row r="15" spans="1:86" ht="38.25" x14ac:dyDescent="0.2">
      <c r="A15" s="34" t="s">
        <v>948</v>
      </c>
      <c r="B15" s="35" t="s">
        <v>972</v>
      </c>
      <c r="C15" s="35" t="s">
        <v>1393</v>
      </c>
      <c r="D15" s="35" t="s">
        <v>976</v>
      </c>
      <c r="F15" s="35" t="s">
        <v>1437</v>
      </c>
      <c r="H15" s="35" t="s">
        <v>976</v>
      </c>
      <c r="J15" s="35" t="s">
        <v>977</v>
      </c>
      <c r="L15" s="35" t="s">
        <v>972</v>
      </c>
      <c r="M15" s="35">
        <v>1</v>
      </c>
      <c r="N15" s="35" t="s">
        <v>1260</v>
      </c>
      <c r="P15" s="35">
        <v>84</v>
      </c>
      <c r="Q15" s="35" t="s">
        <v>1156</v>
      </c>
      <c r="R15" s="35" t="s">
        <v>1396</v>
      </c>
      <c r="T15" s="40">
        <v>4.4999999999999998E-2</v>
      </c>
      <c r="U15" s="40">
        <v>4.4999999999999998E-2</v>
      </c>
      <c r="V15" s="35" t="s">
        <v>972</v>
      </c>
      <c r="W15" s="80" t="s">
        <v>3890</v>
      </c>
      <c r="X15" s="35" t="s">
        <v>972</v>
      </c>
      <c r="Y15" s="35" t="s">
        <v>1145</v>
      </c>
      <c r="Z15" s="39">
        <v>0.09</v>
      </c>
      <c r="AC15" s="35" t="s">
        <v>1398</v>
      </c>
      <c r="AG15" s="35" t="s">
        <v>1405</v>
      </c>
      <c r="AI15" s="35" t="s">
        <v>990</v>
      </c>
      <c r="AJ15" s="35" t="s">
        <v>1475</v>
      </c>
      <c r="AK15" s="39">
        <v>0.14000000000000001</v>
      </c>
      <c r="AL15" s="35" t="s">
        <v>976</v>
      </c>
      <c r="AN15" s="35" t="s">
        <v>1008</v>
      </c>
    </row>
    <row r="16" spans="1:86" ht="63.75" x14ac:dyDescent="0.2">
      <c r="A16" s="34" t="s">
        <v>932</v>
      </c>
      <c r="B16" s="35" t="s">
        <v>972</v>
      </c>
      <c r="C16" s="35" t="s">
        <v>1393</v>
      </c>
      <c r="D16" s="35" t="s">
        <v>972</v>
      </c>
      <c r="E16" s="35" t="s">
        <v>1445</v>
      </c>
      <c r="F16" s="35" t="s">
        <v>1395</v>
      </c>
      <c r="H16" s="35" t="s">
        <v>976</v>
      </c>
      <c r="J16" s="35" t="s">
        <v>977</v>
      </c>
      <c r="L16" s="35" t="s">
        <v>972</v>
      </c>
      <c r="M16" s="35">
        <v>20</v>
      </c>
      <c r="N16" s="35" t="s">
        <v>990</v>
      </c>
      <c r="O16" s="35" t="s">
        <v>1446</v>
      </c>
      <c r="P16" s="35">
        <v>0</v>
      </c>
      <c r="Q16" s="35" t="s">
        <v>1156</v>
      </c>
      <c r="R16" s="35" t="s">
        <v>1403</v>
      </c>
      <c r="V16" s="35" t="s">
        <v>972</v>
      </c>
      <c r="W16" s="35" t="s">
        <v>1447</v>
      </c>
      <c r="X16" s="35" t="s">
        <v>972</v>
      </c>
      <c r="Y16" s="35" t="s">
        <v>1145</v>
      </c>
      <c r="Z16" s="39">
        <v>7.0000000000000007E-2</v>
      </c>
      <c r="AC16" s="35" t="s">
        <v>994</v>
      </c>
      <c r="AF16" s="35" t="s">
        <v>1448</v>
      </c>
      <c r="AG16" s="35" t="s">
        <v>1399</v>
      </c>
      <c r="AK16" s="40">
        <v>0.97799999999999998</v>
      </c>
      <c r="AL16" s="35" t="s">
        <v>976</v>
      </c>
      <c r="AN16" s="35" t="s">
        <v>1008</v>
      </c>
    </row>
    <row r="17" spans="1:85" ht="102" x14ac:dyDescent="0.2">
      <c r="A17" s="34" t="s">
        <v>941</v>
      </c>
      <c r="B17" s="35" t="s">
        <v>972</v>
      </c>
      <c r="C17" s="35" t="s">
        <v>1460</v>
      </c>
      <c r="D17" s="35" t="s">
        <v>972</v>
      </c>
      <c r="E17" s="35" t="s">
        <v>1461</v>
      </c>
      <c r="F17" s="35" t="s">
        <v>1395</v>
      </c>
      <c r="H17" s="35" t="s">
        <v>976</v>
      </c>
      <c r="J17" s="35" t="s">
        <v>977</v>
      </c>
      <c r="L17" s="35" t="s">
        <v>972</v>
      </c>
      <c r="M17" s="35">
        <v>1</v>
      </c>
      <c r="N17" s="35" t="s">
        <v>1260</v>
      </c>
      <c r="P17" s="35">
        <v>30</v>
      </c>
      <c r="Q17" s="35" t="s">
        <v>1156</v>
      </c>
      <c r="R17" s="35" t="s">
        <v>1396</v>
      </c>
      <c r="T17" s="39">
        <v>0.06</v>
      </c>
      <c r="U17" s="39">
        <v>0.03</v>
      </c>
      <c r="V17" s="35" t="s">
        <v>972</v>
      </c>
      <c r="W17" s="35" t="s">
        <v>1462</v>
      </c>
      <c r="X17" s="35" t="s">
        <v>972</v>
      </c>
      <c r="Y17" s="35" t="s">
        <v>1145</v>
      </c>
      <c r="Z17" s="39">
        <v>0.06</v>
      </c>
      <c r="AC17" s="35" t="s">
        <v>1398</v>
      </c>
      <c r="AG17" s="35" t="s">
        <v>1463</v>
      </c>
      <c r="AI17" s="35" t="s">
        <v>990</v>
      </c>
      <c r="AJ17" s="35" t="s">
        <v>1464</v>
      </c>
      <c r="AL17" s="35" t="s">
        <v>976</v>
      </c>
      <c r="AN17" s="35" t="s">
        <v>990</v>
      </c>
      <c r="AO17" s="35" t="s">
        <v>1465</v>
      </c>
      <c r="BY17" s="35" t="s">
        <v>1466</v>
      </c>
      <c r="CB17" s="35" t="s">
        <v>977</v>
      </c>
      <c r="CD17" s="35" t="s">
        <v>1411</v>
      </c>
      <c r="CE17" s="35" t="s">
        <v>1467</v>
      </c>
      <c r="CG17" s="35" t="s">
        <v>976</v>
      </c>
    </row>
    <row r="18" spans="1:85" x14ac:dyDescent="0.2">
      <c r="A18" s="34" t="s">
        <v>956</v>
      </c>
      <c r="B18" s="35" t="s">
        <v>972</v>
      </c>
      <c r="C18" s="35" t="s">
        <v>1407</v>
      </c>
      <c r="D18" s="35" t="s">
        <v>972</v>
      </c>
      <c r="E18" s="35" t="s">
        <v>1487</v>
      </c>
      <c r="F18" s="35" t="s">
        <v>1395</v>
      </c>
      <c r="BY18" s="35" t="s">
        <v>1465</v>
      </c>
    </row>
    <row r="19" spans="1:85" ht="51" x14ac:dyDescent="0.2">
      <c r="A19" s="34" t="s">
        <v>934</v>
      </c>
      <c r="B19" s="35" t="s">
        <v>972</v>
      </c>
      <c r="C19" s="35" t="s">
        <v>1393</v>
      </c>
      <c r="D19" s="35" t="s">
        <v>976</v>
      </c>
      <c r="F19" s="35" t="s">
        <v>1395</v>
      </c>
      <c r="H19" s="35" t="s">
        <v>976</v>
      </c>
      <c r="J19" s="35" t="s">
        <v>977</v>
      </c>
      <c r="L19" s="35" t="s">
        <v>972</v>
      </c>
      <c r="M19" s="35">
        <v>0</v>
      </c>
      <c r="N19" s="35" t="s">
        <v>1260</v>
      </c>
      <c r="P19" s="35">
        <v>30</v>
      </c>
      <c r="Q19" s="35" t="s">
        <v>1156</v>
      </c>
      <c r="R19" s="35" t="s">
        <v>1403</v>
      </c>
      <c r="V19" s="35" t="s">
        <v>972</v>
      </c>
      <c r="X19" s="35" t="s">
        <v>972</v>
      </c>
      <c r="Y19" s="35" t="s">
        <v>1145</v>
      </c>
      <c r="Z19" s="39">
        <v>0.1</v>
      </c>
      <c r="AC19" s="35" t="s">
        <v>1398</v>
      </c>
      <c r="AG19" s="35" t="s">
        <v>1413</v>
      </c>
      <c r="AI19" s="35" t="s">
        <v>990</v>
      </c>
      <c r="AJ19" s="35" t="s">
        <v>1449</v>
      </c>
      <c r="AK19" s="39">
        <v>0.8</v>
      </c>
      <c r="AL19" s="35" t="s">
        <v>976</v>
      </c>
      <c r="AN19" s="35" t="s">
        <v>1406</v>
      </c>
    </row>
    <row r="20" spans="1:85" ht="38.25" x14ac:dyDescent="0.2">
      <c r="A20" s="34" t="s">
        <v>961</v>
      </c>
      <c r="B20" s="35" t="s">
        <v>972</v>
      </c>
      <c r="C20" s="35" t="s">
        <v>1393</v>
      </c>
      <c r="D20" s="35" t="s">
        <v>972</v>
      </c>
      <c r="E20" s="35" t="s">
        <v>1490</v>
      </c>
      <c r="F20" s="35" t="s">
        <v>1395</v>
      </c>
      <c r="H20" s="35" t="s">
        <v>976</v>
      </c>
      <c r="J20" s="35" t="s">
        <v>977</v>
      </c>
      <c r="L20" s="35" t="s">
        <v>972</v>
      </c>
      <c r="M20" s="35">
        <v>0</v>
      </c>
      <c r="N20" s="35" t="s">
        <v>1260</v>
      </c>
      <c r="P20" s="35">
        <v>0</v>
      </c>
      <c r="Q20" s="35" t="s">
        <v>1156</v>
      </c>
      <c r="R20" s="35" t="s">
        <v>1396</v>
      </c>
      <c r="T20" s="39">
        <v>7.0000000000000007E-2</v>
      </c>
      <c r="U20" s="39">
        <v>0.03</v>
      </c>
      <c r="V20" s="35" t="s">
        <v>976</v>
      </c>
      <c r="AC20" s="35" t="s">
        <v>1398</v>
      </c>
      <c r="AG20" s="35" t="s">
        <v>1405</v>
      </c>
      <c r="AI20" s="35" t="s">
        <v>1418</v>
      </c>
      <c r="AK20" s="39">
        <v>0.7</v>
      </c>
      <c r="AL20" s="35" t="s">
        <v>976</v>
      </c>
      <c r="AN20" s="35" t="s">
        <v>1008</v>
      </c>
    </row>
    <row r="21" spans="1:85" ht="38.25" x14ac:dyDescent="0.2">
      <c r="A21" s="34" t="s">
        <v>939</v>
      </c>
      <c r="B21" s="35" t="s">
        <v>972</v>
      </c>
      <c r="C21" s="35" t="s">
        <v>1435</v>
      </c>
      <c r="D21" s="35" t="s">
        <v>976</v>
      </c>
      <c r="F21" s="35" t="s">
        <v>1395</v>
      </c>
      <c r="H21" s="35" t="s">
        <v>976</v>
      </c>
      <c r="J21" s="35" t="s">
        <v>977</v>
      </c>
      <c r="L21" s="35" t="s">
        <v>972</v>
      </c>
      <c r="M21" s="35">
        <v>1</v>
      </c>
      <c r="N21" s="35" t="s">
        <v>1429</v>
      </c>
      <c r="P21" s="35">
        <v>0</v>
      </c>
      <c r="Q21" s="35" t="s">
        <v>1156</v>
      </c>
      <c r="R21" s="35" t="s">
        <v>1396</v>
      </c>
      <c r="T21" s="39">
        <v>0.05</v>
      </c>
      <c r="U21" s="39">
        <v>0.05</v>
      </c>
      <c r="V21" s="35" t="s">
        <v>972</v>
      </c>
      <c r="W21" s="80" t="s">
        <v>3890</v>
      </c>
      <c r="X21" s="35" t="s">
        <v>972</v>
      </c>
      <c r="Y21" s="35" t="s">
        <v>1145</v>
      </c>
      <c r="Z21" s="39">
        <v>0.06</v>
      </c>
      <c r="AC21" s="35" t="s">
        <v>1398</v>
      </c>
      <c r="AG21" s="35" t="s">
        <v>1399</v>
      </c>
      <c r="AI21" s="35" t="s">
        <v>990</v>
      </c>
      <c r="AJ21" s="35" t="s">
        <v>1457</v>
      </c>
      <c r="AK21" s="39">
        <v>0.95</v>
      </c>
      <c r="AL21" s="35" t="s">
        <v>976</v>
      </c>
      <c r="AN21" s="35" t="s">
        <v>1008</v>
      </c>
      <c r="BX21" s="35" t="s">
        <v>1458</v>
      </c>
    </row>
    <row r="22" spans="1:85" ht="38.25" x14ac:dyDescent="0.2">
      <c r="A22" s="34" t="s">
        <v>938</v>
      </c>
      <c r="B22" s="35" t="s">
        <v>972</v>
      </c>
      <c r="C22" s="35" t="s">
        <v>1393</v>
      </c>
      <c r="D22" s="35" t="s">
        <v>1023</v>
      </c>
      <c r="F22" s="35" t="s">
        <v>1437</v>
      </c>
      <c r="H22" s="35" t="s">
        <v>976</v>
      </c>
      <c r="J22" s="35" t="s">
        <v>977</v>
      </c>
      <c r="L22" s="35" t="s">
        <v>972</v>
      </c>
      <c r="M22" s="35">
        <v>7</v>
      </c>
      <c r="N22" s="35" t="s">
        <v>1260</v>
      </c>
      <c r="P22" s="35">
        <v>30</v>
      </c>
      <c r="Q22" s="35" t="s">
        <v>1191</v>
      </c>
      <c r="R22" s="35" t="s">
        <v>1396</v>
      </c>
      <c r="T22" s="39">
        <v>7.0000000000000007E-2</v>
      </c>
      <c r="U22" s="40">
        <v>2.5000000000000001E-2</v>
      </c>
      <c r="V22" s="35" t="s">
        <v>976</v>
      </c>
      <c r="AC22" s="35" t="s">
        <v>1398</v>
      </c>
      <c r="AG22" s="35" t="s">
        <v>1405</v>
      </c>
      <c r="AI22" s="35" t="s">
        <v>1418</v>
      </c>
      <c r="AK22" s="39">
        <v>0.88</v>
      </c>
      <c r="AL22" s="35" t="s">
        <v>976</v>
      </c>
      <c r="AN22" s="35" t="s">
        <v>1008</v>
      </c>
    </row>
    <row r="23" spans="1:85" ht="51" x14ac:dyDescent="0.2">
      <c r="A23" s="34" t="s">
        <v>947</v>
      </c>
      <c r="B23" s="35" t="s">
        <v>972</v>
      </c>
      <c r="C23" s="35" t="s">
        <v>1435</v>
      </c>
      <c r="D23" s="35" t="s">
        <v>1023</v>
      </c>
      <c r="F23" s="35" t="s">
        <v>1395</v>
      </c>
      <c r="H23" s="35" t="s">
        <v>976</v>
      </c>
      <c r="J23" s="35" t="s">
        <v>977</v>
      </c>
      <c r="L23" s="35" t="s">
        <v>972</v>
      </c>
      <c r="N23" s="35" t="s">
        <v>1260</v>
      </c>
      <c r="P23" s="35">
        <v>0</v>
      </c>
      <c r="Q23" s="35" t="s">
        <v>1191</v>
      </c>
      <c r="R23" s="35" t="s">
        <v>1403</v>
      </c>
      <c r="V23" s="35" t="s">
        <v>972</v>
      </c>
      <c r="W23" s="35" t="s">
        <v>1472</v>
      </c>
      <c r="X23" s="35" t="s">
        <v>972</v>
      </c>
      <c r="Y23" s="35" t="s">
        <v>994</v>
      </c>
      <c r="AB23" s="35" t="s">
        <v>1473</v>
      </c>
      <c r="AC23" s="35" t="s">
        <v>1398</v>
      </c>
      <c r="AG23" s="35" t="s">
        <v>1399</v>
      </c>
      <c r="AI23" s="35" t="s">
        <v>990</v>
      </c>
      <c r="AJ23" s="35" t="s">
        <v>3571</v>
      </c>
      <c r="AK23" s="39">
        <v>0.7</v>
      </c>
      <c r="AL23" s="35" t="s">
        <v>976</v>
      </c>
      <c r="AN23" s="35" t="s">
        <v>1406</v>
      </c>
      <c r="BX23" s="35" t="s">
        <v>1474</v>
      </c>
    </row>
    <row r="24" spans="1:85" ht="51" x14ac:dyDescent="0.2">
      <c r="A24" s="34" t="s">
        <v>937</v>
      </c>
      <c r="B24" s="35" t="s">
        <v>972</v>
      </c>
      <c r="C24" s="35" t="s">
        <v>1435</v>
      </c>
      <c r="D24" s="35" t="s">
        <v>1023</v>
      </c>
      <c r="F24" s="35" t="s">
        <v>1395</v>
      </c>
      <c r="H24" s="35" t="s">
        <v>976</v>
      </c>
      <c r="J24" s="35" t="s">
        <v>977</v>
      </c>
      <c r="L24" s="35" t="s">
        <v>972</v>
      </c>
      <c r="M24" s="35">
        <v>0</v>
      </c>
      <c r="N24" s="35" t="s">
        <v>1454</v>
      </c>
      <c r="P24" s="35">
        <v>0</v>
      </c>
      <c r="Q24" s="35" t="s">
        <v>1156</v>
      </c>
      <c r="R24" s="35" t="s">
        <v>1403</v>
      </c>
      <c r="V24" s="35" t="s">
        <v>972</v>
      </c>
      <c r="W24" s="35" t="s">
        <v>1455</v>
      </c>
      <c r="X24" s="35" t="s">
        <v>972</v>
      </c>
      <c r="Y24" s="35" t="s">
        <v>1145</v>
      </c>
      <c r="Z24" s="39">
        <v>7.0000000000000007E-2</v>
      </c>
      <c r="AG24" s="35" t="s">
        <v>1413</v>
      </c>
      <c r="AI24" s="35" t="s">
        <v>1418</v>
      </c>
      <c r="AK24" s="39">
        <v>1</v>
      </c>
      <c r="AL24" s="35" t="s">
        <v>976</v>
      </c>
      <c r="AN24" s="35" t="s">
        <v>1008</v>
      </c>
      <c r="BX24" s="35" t="s">
        <v>1456</v>
      </c>
    </row>
    <row r="25" spans="1:85" ht="38.25" x14ac:dyDescent="0.2">
      <c r="A25" s="34" t="s">
        <v>949</v>
      </c>
      <c r="B25" s="35" t="s">
        <v>972</v>
      </c>
      <c r="C25" s="35" t="s">
        <v>1393</v>
      </c>
      <c r="D25" s="35" t="s">
        <v>976</v>
      </c>
      <c r="F25" s="35" t="s">
        <v>1395</v>
      </c>
      <c r="H25" s="35" t="s">
        <v>976</v>
      </c>
      <c r="J25" s="35" t="s">
        <v>977</v>
      </c>
      <c r="L25" s="35" t="s">
        <v>972</v>
      </c>
      <c r="M25" s="35">
        <v>1</v>
      </c>
      <c r="N25" s="35" t="s">
        <v>1260</v>
      </c>
      <c r="P25" s="35">
        <v>0</v>
      </c>
      <c r="Q25" s="35" t="s">
        <v>1156</v>
      </c>
      <c r="R25" s="35" t="s">
        <v>1396</v>
      </c>
      <c r="T25" s="39">
        <v>0.09</v>
      </c>
      <c r="U25" s="39">
        <v>0.06</v>
      </c>
      <c r="V25" s="35" t="s">
        <v>972</v>
      </c>
      <c r="W25" s="35">
        <v>2</v>
      </c>
      <c r="X25" s="35" t="s">
        <v>972</v>
      </c>
      <c r="Y25" s="35" t="s">
        <v>1145</v>
      </c>
      <c r="Z25" s="39">
        <v>0.09</v>
      </c>
      <c r="AC25" s="35" t="s">
        <v>1398</v>
      </c>
      <c r="AG25" s="35" t="s">
        <v>1420</v>
      </c>
      <c r="AI25" s="35" t="s">
        <v>1476</v>
      </c>
      <c r="AK25" s="39">
        <v>1</v>
      </c>
      <c r="AL25" s="35" t="s">
        <v>976</v>
      </c>
      <c r="AN25" s="35" t="s">
        <v>1406</v>
      </c>
    </row>
    <row r="26" spans="1:85" ht="51" x14ac:dyDescent="0.2">
      <c r="A26" s="34" t="s">
        <v>963</v>
      </c>
      <c r="B26" s="35" t="s">
        <v>972</v>
      </c>
      <c r="C26" s="35" t="s">
        <v>1393</v>
      </c>
      <c r="D26" s="35" t="s">
        <v>976</v>
      </c>
      <c r="F26" s="35" t="s">
        <v>1395</v>
      </c>
      <c r="H26" s="35" t="s">
        <v>976</v>
      </c>
      <c r="J26" s="35" t="s">
        <v>977</v>
      </c>
      <c r="L26" s="35" t="s">
        <v>972</v>
      </c>
      <c r="M26" s="35">
        <v>10</v>
      </c>
      <c r="N26" s="35" t="s">
        <v>1429</v>
      </c>
      <c r="P26" s="35">
        <v>90</v>
      </c>
      <c r="Q26" s="35" t="s">
        <v>1156</v>
      </c>
      <c r="R26" s="35" t="s">
        <v>1403</v>
      </c>
      <c r="V26" s="35" t="s">
        <v>972</v>
      </c>
      <c r="W26" s="80" t="s">
        <v>3891</v>
      </c>
      <c r="X26" s="35" t="s">
        <v>972</v>
      </c>
      <c r="Y26" s="35" t="s">
        <v>1145</v>
      </c>
      <c r="Z26" s="39">
        <v>0.1</v>
      </c>
      <c r="AC26" s="35" t="s">
        <v>1398</v>
      </c>
      <c r="AG26" s="35" t="s">
        <v>1413</v>
      </c>
      <c r="AI26" s="35" t="s">
        <v>1418</v>
      </c>
      <c r="AK26" s="39">
        <v>0.7</v>
      </c>
      <c r="AL26" s="35" t="s">
        <v>976</v>
      </c>
      <c r="AN26" s="35" t="s">
        <v>1423</v>
      </c>
    </row>
    <row r="27" spans="1:85" ht="38.25" x14ac:dyDescent="0.2">
      <c r="A27" s="34" t="s">
        <v>913</v>
      </c>
      <c r="B27" s="35" t="s">
        <v>972</v>
      </c>
      <c r="C27" s="35" t="s">
        <v>1407</v>
      </c>
      <c r="D27" s="35" t="s">
        <v>972</v>
      </c>
      <c r="E27" s="35" t="s">
        <v>1408</v>
      </c>
      <c r="F27" s="35" t="s">
        <v>1395</v>
      </c>
      <c r="BY27" s="35" t="s">
        <v>1409</v>
      </c>
    </row>
    <row r="28" spans="1:85" x14ac:dyDescent="0.2">
      <c r="A28" s="34" t="s">
        <v>931</v>
      </c>
      <c r="B28" s="35" t="s">
        <v>972</v>
      </c>
      <c r="C28" s="35" t="s">
        <v>1430</v>
      </c>
      <c r="D28" s="35" t="s">
        <v>972</v>
      </c>
      <c r="E28" s="35" t="s">
        <v>1443</v>
      </c>
      <c r="F28" s="35" t="s">
        <v>1395</v>
      </c>
      <c r="BX28" s="35" t="s">
        <v>1444</v>
      </c>
    </row>
    <row r="29" spans="1:85" ht="51" x14ac:dyDescent="0.2">
      <c r="A29" s="34" t="s">
        <v>966</v>
      </c>
      <c r="B29" s="35" t="s">
        <v>972</v>
      </c>
      <c r="C29" s="35" t="s">
        <v>1393</v>
      </c>
      <c r="D29" s="35" t="s">
        <v>976</v>
      </c>
      <c r="F29" s="35" t="s">
        <v>1437</v>
      </c>
      <c r="H29" s="35" t="s">
        <v>976</v>
      </c>
      <c r="J29" s="35" t="s">
        <v>977</v>
      </c>
      <c r="L29" s="35" t="s">
        <v>972</v>
      </c>
      <c r="M29" s="35">
        <v>0</v>
      </c>
      <c r="N29" s="35" t="s">
        <v>1260</v>
      </c>
      <c r="P29" s="35">
        <v>0</v>
      </c>
      <c r="Q29" s="35" t="s">
        <v>1156</v>
      </c>
      <c r="R29" s="35" t="s">
        <v>1403</v>
      </c>
      <c r="V29" s="35" t="s">
        <v>972</v>
      </c>
      <c r="W29" s="39">
        <v>2</v>
      </c>
      <c r="X29" s="35" t="s">
        <v>976</v>
      </c>
      <c r="AC29" s="35" t="s">
        <v>1398</v>
      </c>
      <c r="AG29" s="35" t="s">
        <v>1399</v>
      </c>
      <c r="AI29" s="35" t="s">
        <v>1418</v>
      </c>
      <c r="AK29" s="39">
        <v>0.98</v>
      </c>
      <c r="AL29" s="35" t="s">
        <v>976</v>
      </c>
      <c r="AN29" s="35" t="s">
        <v>1423</v>
      </c>
    </row>
    <row r="30" spans="1:85" ht="38.25" x14ac:dyDescent="0.2">
      <c r="A30" s="34" t="s">
        <v>917</v>
      </c>
      <c r="B30" s="35" t="s">
        <v>972</v>
      </c>
      <c r="C30" s="35" t="s">
        <v>1393</v>
      </c>
      <c r="D30" s="35" t="s">
        <v>976</v>
      </c>
      <c r="F30" s="35" t="s">
        <v>1395</v>
      </c>
      <c r="H30" s="35" t="s">
        <v>976</v>
      </c>
      <c r="J30" s="35" t="s">
        <v>977</v>
      </c>
      <c r="L30" s="35" t="s">
        <v>972</v>
      </c>
      <c r="M30" s="35">
        <v>0</v>
      </c>
      <c r="N30" s="35" t="s">
        <v>1260</v>
      </c>
      <c r="P30" s="35">
        <v>0</v>
      </c>
      <c r="Q30" s="35" t="s">
        <v>1191</v>
      </c>
      <c r="R30" s="35" t="s">
        <v>1396</v>
      </c>
      <c r="T30" s="39">
        <v>0.06</v>
      </c>
      <c r="U30" s="39">
        <v>0.02</v>
      </c>
      <c r="V30" s="35" t="s">
        <v>972</v>
      </c>
      <c r="W30" s="35" t="s">
        <v>1419</v>
      </c>
      <c r="X30" s="35" t="s">
        <v>972</v>
      </c>
      <c r="Y30" s="35" t="s">
        <v>1145</v>
      </c>
      <c r="Z30" s="39">
        <v>0.04</v>
      </c>
      <c r="AC30" s="35" t="s">
        <v>1398</v>
      </c>
      <c r="AG30" s="35" t="s">
        <v>1420</v>
      </c>
      <c r="AI30" s="35" t="s">
        <v>1418</v>
      </c>
      <c r="AK30" s="39">
        <v>0.7</v>
      </c>
      <c r="AL30" s="35" t="s">
        <v>976</v>
      </c>
      <c r="AN30" s="35" t="s">
        <v>990</v>
      </c>
      <c r="AO30" s="35" t="s">
        <v>1421</v>
      </c>
    </row>
    <row r="31" spans="1:85" ht="38.25" x14ac:dyDescent="0.2">
      <c r="A31" s="34" t="s">
        <v>923</v>
      </c>
      <c r="B31" s="35" t="s">
        <v>972</v>
      </c>
      <c r="C31" s="35" t="s">
        <v>1393</v>
      </c>
      <c r="D31" s="35" t="s">
        <v>972</v>
      </c>
      <c r="E31" s="35" t="s">
        <v>1432</v>
      </c>
      <c r="F31" s="35" t="s">
        <v>1395</v>
      </c>
      <c r="H31" s="35" t="s">
        <v>976</v>
      </c>
      <c r="J31" s="35" t="s">
        <v>977</v>
      </c>
      <c r="L31" s="35" t="s">
        <v>972</v>
      </c>
      <c r="M31" s="35">
        <v>1</v>
      </c>
      <c r="N31" s="35" t="s">
        <v>1260</v>
      </c>
      <c r="P31" s="35">
        <v>0</v>
      </c>
      <c r="Q31" s="35" t="s">
        <v>1156</v>
      </c>
      <c r="R31" s="35" t="s">
        <v>1396</v>
      </c>
      <c r="T31" s="39">
        <v>0.06</v>
      </c>
      <c r="U31" s="39">
        <v>0.03</v>
      </c>
      <c r="V31" s="35" t="s">
        <v>972</v>
      </c>
      <c r="W31" s="35" t="s">
        <v>1433</v>
      </c>
      <c r="X31" s="35" t="s">
        <v>972</v>
      </c>
      <c r="Y31" s="35" t="s">
        <v>1145</v>
      </c>
      <c r="Z31" s="39">
        <v>0.08</v>
      </c>
      <c r="AC31" s="35" t="s">
        <v>1398</v>
      </c>
      <c r="AG31" s="35" t="s">
        <v>1413</v>
      </c>
      <c r="AI31" s="35" t="s">
        <v>990</v>
      </c>
      <c r="AJ31" s="35" t="s">
        <v>1434</v>
      </c>
      <c r="AK31" s="39">
        <v>0.85</v>
      </c>
      <c r="AL31" s="35" t="s">
        <v>976</v>
      </c>
      <c r="AN31" s="35" t="s">
        <v>1406</v>
      </c>
    </row>
    <row r="32" spans="1:85" x14ac:dyDescent="0.2">
      <c r="A32" s="34" t="s">
        <v>935</v>
      </c>
      <c r="B32" s="35" t="s">
        <v>972</v>
      </c>
      <c r="C32" s="35" t="s">
        <v>1430</v>
      </c>
      <c r="D32" s="35" t="s">
        <v>972</v>
      </c>
      <c r="E32" s="35" t="s">
        <v>1450</v>
      </c>
      <c r="F32" s="35" t="s">
        <v>1395</v>
      </c>
      <c r="BX32" s="35" t="s">
        <v>1451</v>
      </c>
    </row>
    <row r="33" spans="1:86" ht="38.25" x14ac:dyDescent="0.2">
      <c r="A33" s="34" t="s">
        <v>915</v>
      </c>
      <c r="B33" s="35" t="s">
        <v>972</v>
      </c>
      <c r="C33" s="35" t="s">
        <v>1393</v>
      </c>
      <c r="D33" s="35" t="s">
        <v>976</v>
      </c>
      <c r="F33" s="35" t="s">
        <v>1395</v>
      </c>
      <c r="H33" s="35" t="s">
        <v>976</v>
      </c>
      <c r="J33" s="35" t="s">
        <v>977</v>
      </c>
      <c r="L33" s="35" t="s">
        <v>972</v>
      </c>
      <c r="M33" s="35">
        <v>1</v>
      </c>
      <c r="N33" s="35" t="s">
        <v>1260</v>
      </c>
      <c r="P33" s="35">
        <v>1</v>
      </c>
      <c r="Q33" s="35" t="s">
        <v>1156</v>
      </c>
      <c r="R33" s="35" t="s">
        <v>1396</v>
      </c>
      <c r="T33" s="39">
        <v>0.05</v>
      </c>
      <c r="U33" s="39">
        <v>0.05</v>
      </c>
      <c r="V33" s="35" t="s">
        <v>972</v>
      </c>
      <c r="W33" s="35" t="s">
        <v>1412</v>
      </c>
      <c r="X33" s="35" t="s">
        <v>972</v>
      </c>
      <c r="Y33" s="35" t="s">
        <v>1145</v>
      </c>
      <c r="Z33" s="39">
        <v>0.05</v>
      </c>
      <c r="AC33" s="35" t="s">
        <v>1398</v>
      </c>
      <c r="AG33" s="35" t="s">
        <v>1413</v>
      </c>
      <c r="AI33" s="35" t="s">
        <v>990</v>
      </c>
      <c r="AJ33" s="35" t="s">
        <v>1414</v>
      </c>
      <c r="AK33" s="39">
        <v>0.94</v>
      </c>
      <c r="AL33" s="35" t="s">
        <v>976</v>
      </c>
      <c r="AN33" s="35" t="s">
        <v>990</v>
      </c>
      <c r="AO33" s="35" t="s">
        <v>1415</v>
      </c>
    </row>
    <row r="34" spans="1:86" ht="38.25" x14ac:dyDescent="0.2">
      <c r="A34" s="34" t="s">
        <v>945</v>
      </c>
      <c r="B34" s="35" t="s">
        <v>972</v>
      </c>
      <c r="C34" s="35" t="s">
        <v>1393</v>
      </c>
      <c r="D34" s="35" t="s">
        <v>972</v>
      </c>
      <c r="E34" s="35" t="s">
        <v>1470</v>
      </c>
      <c r="F34" s="35" t="s">
        <v>1395</v>
      </c>
      <c r="H34" s="35" t="s">
        <v>976</v>
      </c>
      <c r="J34" s="35" t="s">
        <v>977</v>
      </c>
      <c r="L34" s="35" t="s">
        <v>972</v>
      </c>
      <c r="N34" s="35" t="s">
        <v>1260</v>
      </c>
      <c r="P34" s="35">
        <v>0</v>
      </c>
      <c r="Q34" s="35" t="s">
        <v>1191</v>
      </c>
      <c r="R34" s="35" t="s">
        <v>1428</v>
      </c>
      <c r="T34" s="39">
        <v>0.09</v>
      </c>
      <c r="AC34" s="35" t="s">
        <v>1398</v>
      </c>
      <c r="AG34" s="35" t="s">
        <v>1399</v>
      </c>
      <c r="AI34" s="35" t="s">
        <v>1400</v>
      </c>
      <c r="AK34" s="39">
        <v>0.6</v>
      </c>
      <c r="AL34" s="35" t="s">
        <v>976</v>
      </c>
      <c r="AN34" s="35" t="s">
        <v>990</v>
      </c>
      <c r="AO34" s="35" t="s">
        <v>1471</v>
      </c>
    </row>
    <row r="35" spans="1:86" ht="38.25" x14ac:dyDescent="0.2">
      <c r="A35" s="34" t="s">
        <v>924</v>
      </c>
      <c r="B35" s="35" t="s">
        <v>972</v>
      </c>
      <c r="C35" s="35" t="s">
        <v>1393</v>
      </c>
      <c r="D35" s="35" t="s">
        <v>976</v>
      </c>
      <c r="F35" s="35" t="s">
        <v>1395</v>
      </c>
      <c r="H35" s="35" t="s">
        <v>976</v>
      </c>
      <c r="J35" s="35" t="s">
        <v>977</v>
      </c>
      <c r="L35" s="35" t="s">
        <v>976</v>
      </c>
      <c r="N35" s="35" t="s">
        <v>1260</v>
      </c>
      <c r="P35" s="35">
        <v>90</v>
      </c>
      <c r="Q35" s="35" t="s">
        <v>1191</v>
      </c>
      <c r="R35" s="35" t="s">
        <v>1396</v>
      </c>
      <c r="T35" s="39">
        <v>0.05</v>
      </c>
      <c r="U35" s="39">
        <v>0.05</v>
      </c>
      <c r="V35" s="35" t="s">
        <v>972</v>
      </c>
      <c r="W35" s="35" t="s">
        <v>3570</v>
      </c>
      <c r="X35" s="35" t="s">
        <v>972</v>
      </c>
      <c r="Y35" s="35" t="s">
        <v>1145</v>
      </c>
      <c r="Z35" s="39">
        <v>7.0000000000000007E-2</v>
      </c>
      <c r="AC35" s="35" t="s">
        <v>1398</v>
      </c>
      <c r="AG35" s="35" t="s">
        <v>1399</v>
      </c>
      <c r="AI35" s="35" t="s">
        <v>1418</v>
      </c>
      <c r="AN35" s="35" t="s">
        <v>990</v>
      </c>
      <c r="AO35" s="35" t="s">
        <v>1415</v>
      </c>
    </row>
    <row r="36" spans="1:86" ht="76.5" x14ac:dyDescent="0.2">
      <c r="A36" s="34" t="s">
        <v>925</v>
      </c>
      <c r="B36" s="35" t="s">
        <v>972</v>
      </c>
      <c r="C36" s="35" t="s">
        <v>1435</v>
      </c>
      <c r="D36" s="35" t="s">
        <v>976</v>
      </c>
      <c r="F36" s="35" t="s">
        <v>1395</v>
      </c>
      <c r="H36" s="35" t="s">
        <v>976</v>
      </c>
      <c r="J36" s="35" t="s">
        <v>977</v>
      </c>
      <c r="L36" s="35" t="s">
        <v>972</v>
      </c>
      <c r="N36" s="35" t="s">
        <v>1260</v>
      </c>
      <c r="P36" s="35">
        <v>90</v>
      </c>
      <c r="Q36" s="35" t="s">
        <v>1156</v>
      </c>
      <c r="R36" s="35" t="s">
        <v>1396</v>
      </c>
      <c r="T36" s="40">
        <v>4.4999999999999998E-2</v>
      </c>
      <c r="U36" s="40">
        <v>4.4999999999999998E-2</v>
      </c>
      <c r="V36" s="35" t="s">
        <v>972</v>
      </c>
      <c r="X36" s="35" t="s">
        <v>972</v>
      </c>
      <c r="Y36" s="35" t="s">
        <v>1145</v>
      </c>
      <c r="Z36" s="39">
        <v>0.05</v>
      </c>
      <c r="AL36" s="35" t="s">
        <v>972</v>
      </c>
      <c r="AM36" s="35" t="s">
        <v>1436</v>
      </c>
      <c r="AN36" s="35" t="s">
        <v>1008</v>
      </c>
      <c r="BX36" s="35" t="s">
        <v>3574</v>
      </c>
    </row>
    <row r="37" spans="1:86" ht="38.25" x14ac:dyDescent="0.2">
      <c r="A37" s="34" t="s">
        <v>3376</v>
      </c>
      <c r="B37" s="36" t="s">
        <v>972</v>
      </c>
      <c r="C37" s="36" t="s">
        <v>3382</v>
      </c>
      <c r="D37" s="36" t="s">
        <v>976</v>
      </c>
      <c r="E37" s="36"/>
      <c r="F37" s="36" t="s">
        <v>1440</v>
      </c>
      <c r="G37" s="36"/>
      <c r="H37" s="36" t="s">
        <v>976</v>
      </c>
      <c r="I37" s="36"/>
      <c r="J37" s="36" t="s">
        <v>977</v>
      </c>
      <c r="K37" s="36"/>
      <c r="L37" s="36" t="s">
        <v>972</v>
      </c>
      <c r="M37" s="36">
        <v>20</v>
      </c>
      <c r="N37" s="36" t="s">
        <v>1260</v>
      </c>
      <c r="O37" s="36"/>
      <c r="P37" s="36">
        <v>0</v>
      </c>
      <c r="Q37" s="36" t="s">
        <v>1156</v>
      </c>
      <c r="R37" s="36" t="s">
        <v>1396</v>
      </c>
      <c r="S37" s="36"/>
      <c r="T37" s="36"/>
      <c r="U37" s="41">
        <v>4.4999999999999998E-2</v>
      </c>
      <c r="V37" s="36" t="s">
        <v>972</v>
      </c>
      <c r="W37" s="36" t="s">
        <v>3383</v>
      </c>
      <c r="X37" s="36" t="s">
        <v>976</v>
      </c>
      <c r="Y37" s="36"/>
      <c r="Z37" s="36"/>
      <c r="AA37" s="36"/>
      <c r="AB37" s="36"/>
      <c r="AC37" s="36" t="s">
        <v>994</v>
      </c>
      <c r="AD37" s="36"/>
      <c r="AE37" s="36"/>
      <c r="AF37" s="36" t="s">
        <v>3384</v>
      </c>
      <c r="AG37" s="36" t="s">
        <v>1405</v>
      </c>
      <c r="AH37" s="36"/>
      <c r="AI37" s="36" t="s">
        <v>1418</v>
      </c>
      <c r="AJ37" s="36"/>
      <c r="AK37" s="36"/>
      <c r="AL37" s="36" t="s">
        <v>976</v>
      </c>
      <c r="AM37" s="36"/>
      <c r="AN37" s="36" t="s">
        <v>1008</v>
      </c>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row>
    <row r="38" spans="1:86" x14ac:dyDescent="0.2">
      <c r="A38" s="34" t="s">
        <v>952</v>
      </c>
      <c r="B38" s="35" t="s">
        <v>972</v>
      </c>
      <c r="C38" s="35" t="s">
        <v>1430</v>
      </c>
      <c r="D38" s="35" t="s">
        <v>1023</v>
      </c>
      <c r="F38" s="35" t="s">
        <v>1395</v>
      </c>
      <c r="BX38" s="35" t="s">
        <v>1479</v>
      </c>
    </row>
    <row r="39" spans="1:86" ht="38.25" x14ac:dyDescent="0.2">
      <c r="A39" s="34" t="s">
        <v>921</v>
      </c>
      <c r="B39" s="35" t="s">
        <v>972</v>
      </c>
      <c r="C39" s="35" t="s">
        <v>1393</v>
      </c>
      <c r="D39" s="35" t="s">
        <v>976</v>
      </c>
      <c r="F39" s="35" t="s">
        <v>1395</v>
      </c>
      <c r="H39" s="35" t="s">
        <v>976</v>
      </c>
      <c r="J39" s="35" t="s">
        <v>977</v>
      </c>
      <c r="L39" s="35" t="s">
        <v>976</v>
      </c>
      <c r="N39" s="35" t="s">
        <v>1429</v>
      </c>
      <c r="P39" s="35">
        <v>0</v>
      </c>
      <c r="Q39" s="35" t="s">
        <v>1156</v>
      </c>
      <c r="R39" s="35" t="s">
        <v>1428</v>
      </c>
      <c r="T39" s="40">
        <v>4.4999999999999998E-2</v>
      </c>
      <c r="AL39" s="35" t="s">
        <v>976</v>
      </c>
      <c r="AN39" s="35" t="s">
        <v>1008</v>
      </c>
    </row>
    <row r="40" spans="1:86" x14ac:dyDescent="0.2">
      <c r="A40" s="34" t="s">
        <v>958</v>
      </c>
      <c r="B40" s="35" t="s">
        <v>976</v>
      </c>
      <c r="F40" s="35" t="s">
        <v>1395</v>
      </c>
    </row>
    <row r="41" spans="1:86" x14ac:dyDescent="0.2">
      <c r="A41" s="34" t="s">
        <v>962</v>
      </c>
      <c r="B41" s="35" t="s">
        <v>976</v>
      </c>
      <c r="F41" s="35" t="s">
        <v>1395</v>
      </c>
    </row>
    <row r="42" spans="1:86" ht="38.25" x14ac:dyDescent="0.2">
      <c r="A42" s="34" t="s">
        <v>957</v>
      </c>
      <c r="B42" s="35" t="s">
        <v>972</v>
      </c>
      <c r="C42" s="35" t="s">
        <v>1393</v>
      </c>
      <c r="D42" s="35" t="s">
        <v>1023</v>
      </c>
      <c r="F42" s="35" t="s">
        <v>1395</v>
      </c>
      <c r="H42" s="35" t="s">
        <v>976</v>
      </c>
      <c r="J42" s="35" t="s">
        <v>977</v>
      </c>
      <c r="L42" s="35" t="s">
        <v>972</v>
      </c>
      <c r="M42" s="35">
        <v>0</v>
      </c>
      <c r="N42" s="35" t="s">
        <v>1260</v>
      </c>
      <c r="P42" s="35">
        <v>0</v>
      </c>
      <c r="Q42" s="35" t="s">
        <v>1156</v>
      </c>
      <c r="R42" s="35" t="s">
        <v>1428</v>
      </c>
      <c r="T42" s="39">
        <v>0.03</v>
      </c>
      <c r="AC42" s="35" t="s">
        <v>994</v>
      </c>
      <c r="AF42" s="35" t="s">
        <v>971</v>
      </c>
      <c r="AG42" s="35" t="s">
        <v>1413</v>
      </c>
      <c r="AI42" s="35" t="s">
        <v>990</v>
      </c>
      <c r="AJ42" s="35" t="s">
        <v>1488</v>
      </c>
      <c r="AK42" s="39">
        <v>0.8</v>
      </c>
      <c r="AL42" s="35" t="s">
        <v>976</v>
      </c>
      <c r="AN42" s="35" t="s">
        <v>1008</v>
      </c>
    </row>
    <row r="43" spans="1:86" ht="38.25" x14ac:dyDescent="0.2">
      <c r="A43" s="34" t="s">
        <v>918</v>
      </c>
      <c r="B43" s="35" t="s">
        <v>972</v>
      </c>
      <c r="C43" s="35" t="s">
        <v>1393</v>
      </c>
      <c r="D43" s="35" t="s">
        <v>976</v>
      </c>
      <c r="F43" s="35" t="s">
        <v>1395</v>
      </c>
      <c r="H43" s="35" t="s">
        <v>976</v>
      </c>
      <c r="J43" s="35" t="s">
        <v>977</v>
      </c>
      <c r="L43" s="35" t="s">
        <v>1023</v>
      </c>
      <c r="N43" s="35" t="s">
        <v>1260</v>
      </c>
      <c r="P43" s="35">
        <v>30</v>
      </c>
      <c r="Q43" s="35" t="s">
        <v>1156</v>
      </c>
      <c r="R43" s="35" t="s">
        <v>1396</v>
      </c>
      <c r="T43" s="39">
        <v>0.06</v>
      </c>
      <c r="U43" s="39">
        <v>0.04</v>
      </c>
      <c r="V43" s="35" t="s">
        <v>976</v>
      </c>
      <c r="AC43" s="35" t="s">
        <v>1398</v>
      </c>
      <c r="AG43" s="35" t="s">
        <v>1405</v>
      </c>
      <c r="AI43" s="35" t="s">
        <v>990</v>
      </c>
      <c r="AJ43" s="35" t="s">
        <v>1422</v>
      </c>
      <c r="AK43" s="39">
        <v>1</v>
      </c>
      <c r="AL43" s="35" t="s">
        <v>976</v>
      </c>
      <c r="AN43" s="35" t="s">
        <v>1423</v>
      </c>
    </row>
    <row r="44" spans="1:86" ht="38.25" x14ac:dyDescent="0.2">
      <c r="A44" s="34" t="s">
        <v>965</v>
      </c>
      <c r="B44" s="35" t="s">
        <v>972</v>
      </c>
      <c r="C44" s="35" t="s">
        <v>1393</v>
      </c>
      <c r="D44" s="35" t="s">
        <v>976</v>
      </c>
      <c r="F44" s="35" t="s">
        <v>1395</v>
      </c>
      <c r="H44" s="35" t="s">
        <v>976</v>
      </c>
      <c r="J44" s="35" t="s">
        <v>977</v>
      </c>
      <c r="L44" s="35" t="s">
        <v>972</v>
      </c>
      <c r="M44" s="35">
        <v>1</v>
      </c>
      <c r="N44" s="35" t="s">
        <v>1260</v>
      </c>
      <c r="P44" s="35">
        <v>0</v>
      </c>
      <c r="Q44" s="35" t="s">
        <v>1191</v>
      </c>
      <c r="R44" s="35" t="s">
        <v>1396</v>
      </c>
      <c r="T44" s="39">
        <v>7.0000000000000007E-2</v>
      </c>
      <c r="U44" s="39">
        <v>0.02</v>
      </c>
      <c r="V44" s="35" t="s">
        <v>976</v>
      </c>
      <c r="AC44" s="35" t="s">
        <v>1398</v>
      </c>
      <c r="AG44" s="35" t="s">
        <v>1420</v>
      </c>
      <c r="AI44" s="35" t="s">
        <v>990</v>
      </c>
      <c r="AJ44" s="35" t="s">
        <v>1493</v>
      </c>
      <c r="AK44" s="40">
        <v>0.97799999999999998</v>
      </c>
      <c r="AL44" s="35" t="s">
        <v>976</v>
      </c>
      <c r="AN44" s="35" t="s">
        <v>1406</v>
      </c>
    </row>
    <row r="45" spans="1:86" x14ac:dyDescent="0.2">
      <c r="A45" s="34" t="s">
        <v>942</v>
      </c>
      <c r="B45" s="35" t="s">
        <v>1023</v>
      </c>
      <c r="F45" s="35" t="s">
        <v>1395</v>
      </c>
    </row>
    <row r="46" spans="1:86" ht="38.25" x14ac:dyDescent="0.2">
      <c r="A46" s="34" t="s">
        <v>955</v>
      </c>
      <c r="B46" s="35" t="s">
        <v>972</v>
      </c>
      <c r="C46" s="35" t="s">
        <v>1393</v>
      </c>
      <c r="D46" s="35" t="s">
        <v>1023</v>
      </c>
      <c r="F46" s="35" t="s">
        <v>1395</v>
      </c>
      <c r="H46" s="35" t="s">
        <v>976</v>
      </c>
      <c r="J46" s="35" t="s">
        <v>977</v>
      </c>
      <c r="L46" s="35" t="s">
        <v>972</v>
      </c>
      <c r="M46" s="35">
        <v>8</v>
      </c>
      <c r="N46" s="35" t="s">
        <v>1260</v>
      </c>
      <c r="P46" s="35">
        <v>0</v>
      </c>
      <c r="Q46" s="35" t="s">
        <v>1156</v>
      </c>
      <c r="R46" s="35" t="s">
        <v>1396</v>
      </c>
      <c r="T46" s="39">
        <v>0.06</v>
      </c>
      <c r="U46" s="39">
        <v>0.03</v>
      </c>
      <c r="V46" s="35" t="s">
        <v>976</v>
      </c>
      <c r="AC46" s="35" t="s">
        <v>1398</v>
      </c>
      <c r="AG46" s="35" t="s">
        <v>1405</v>
      </c>
      <c r="AI46" s="35" t="s">
        <v>1418</v>
      </c>
      <c r="AL46" s="35" t="s">
        <v>976</v>
      </c>
      <c r="AN46" s="35" t="s">
        <v>1008</v>
      </c>
    </row>
    <row r="47" spans="1:86" ht="102" x14ac:dyDescent="0.2">
      <c r="A47" s="37" t="s">
        <v>967</v>
      </c>
      <c r="B47" s="36" t="s">
        <v>972</v>
      </c>
      <c r="C47" s="36" t="s">
        <v>1430</v>
      </c>
      <c r="D47" s="36" t="s">
        <v>972</v>
      </c>
      <c r="E47" s="36" t="s">
        <v>1494</v>
      </c>
      <c r="F47" s="36" t="s">
        <v>1395</v>
      </c>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t="s">
        <v>3572</v>
      </c>
      <c r="BY47" s="36"/>
      <c r="BZ47" s="36"/>
      <c r="CA47" s="36"/>
      <c r="CB47" s="36"/>
      <c r="CC47" s="36"/>
      <c r="CD47" s="36"/>
      <c r="CE47" s="36"/>
      <c r="CF47" s="36"/>
      <c r="CG47" s="36"/>
      <c r="CH47" s="36"/>
    </row>
    <row r="48" spans="1:86" ht="51" x14ac:dyDescent="0.2">
      <c r="A48" s="34" t="s">
        <v>964</v>
      </c>
      <c r="B48" s="35" t="s">
        <v>972</v>
      </c>
      <c r="C48" s="35" t="s">
        <v>1393</v>
      </c>
      <c r="D48" s="35" t="s">
        <v>972</v>
      </c>
      <c r="E48" s="35" t="s">
        <v>1491</v>
      </c>
      <c r="F48" s="35" t="s">
        <v>1437</v>
      </c>
      <c r="H48" s="35" t="s">
        <v>972</v>
      </c>
      <c r="I48" s="35">
        <v>2</v>
      </c>
      <c r="J48" s="35" t="s">
        <v>977</v>
      </c>
      <c r="L48" s="35" t="s">
        <v>976</v>
      </c>
      <c r="N48" s="35" t="s">
        <v>1260</v>
      </c>
      <c r="P48" s="35">
        <v>0</v>
      </c>
      <c r="Q48" s="35" t="s">
        <v>1191</v>
      </c>
      <c r="R48" s="35" t="s">
        <v>1403</v>
      </c>
      <c r="V48" s="35" t="s">
        <v>972</v>
      </c>
      <c r="W48" s="38" t="s">
        <v>2668</v>
      </c>
      <c r="X48" s="35" t="s">
        <v>972</v>
      </c>
      <c r="Y48" s="35" t="s">
        <v>1145</v>
      </c>
      <c r="Z48" s="39">
        <v>7.0000000000000007E-2</v>
      </c>
      <c r="AC48" s="35" t="s">
        <v>1398</v>
      </c>
      <c r="AG48" s="35" t="s">
        <v>990</v>
      </c>
      <c r="AH48" s="35" t="s">
        <v>1492</v>
      </c>
      <c r="AL48" s="35" t="s">
        <v>976</v>
      </c>
      <c r="AN48" s="35" t="s">
        <v>1406</v>
      </c>
    </row>
    <row r="49" spans="1:86" x14ac:dyDescent="0.2">
      <c r="A49" s="34" t="s">
        <v>951</v>
      </c>
      <c r="B49" s="35" t="s">
        <v>972</v>
      </c>
      <c r="C49" s="35" t="s">
        <v>1430</v>
      </c>
      <c r="D49" s="35" t="s">
        <v>976</v>
      </c>
      <c r="F49" s="35" t="s">
        <v>1437</v>
      </c>
    </row>
    <row r="50" spans="1:86" ht="63.75" x14ac:dyDescent="0.2">
      <c r="A50" s="34" t="s">
        <v>954</v>
      </c>
      <c r="B50" s="35" t="s">
        <v>972</v>
      </c>
      <c r="C50" s="35" t="s">
        <v>1482</v>
      </c>
      <c r="D50" s="35" t="s">
        <v>976</v>
      </c>
      <c r="F50" s="35" t="s">
        <v>994</v>
      </c>
      <c r="G50" s="35" t="s">
        <v>1483</v>
      </c>
      <c r="H50" s="35" t="s">
        <v>976</v>
      </c>
      <c r="J50" s="35" t="s">
        <v>977</v>
      </c>
      <c r="L50" s="35" t="s">
        <v>972</v>
      </c>
      <c r="M50" s="35">
        <v>20</v>
      </c>
      <c r="N50" s="35" t="s">
        <v>1429</v>
      </c>
      <c r="P50" s="35">
        <v>0</v>
      </c>
      <c r="Q50" s="35" t="s">
        <v>1156</v>
      </c>
      <c r="R50" s="35" t="s">
        <v>1403</v>
      </c>
      <c r="V50" s="35" t="s">
        <v>972</v>
      </c>
      <c r="W50" s="35" t="s">
        <v>1484</v>
      </c>
      <c r="X50" s="35" t="s">
        <v>972</v>
      </c>
      <c r="Y50" s="35" t="s">
        <v>1145</v>
      </c>
      <c r="Z50" s="39">
        <v>0.08</v>
      </c>
      <c r="AC50" s="35" t="s">
        <v>1398</v>
      </c>
      <c r="AG50" s="35" t="s">
        <v>1413</v>
      </c>
      <c r="AI50" s="35" t="s">
        <v>990</v>
      </c>
      <c r="AJ50" s="35" t="s">
        <v>1485</v>
      </c>
      <c r="AK50" s="39">
        <v>0.7</v>
      </c>
      <c r="AL50" s="35" t="s">
        <v>976</v>
      </c>
      <c r="AN50" s="35" t="s">
        <v>990</v>
      </c>
      <c r="AO50" s="35" t="s">
        <v>1486</v>
      </c>
      <c r="BY50" s="35" t="s">
        <v>3575</v>
      </c>
    </row>
    <row r="51" spans="1:86" ht="51" x14ac:dyDescent="0.2">
      <c r="A51" s="34" t="s">
        <v>944</v>
      </c>
      <c r="B51" s="35" t="s">
        <v>972</v>
      </c>
      <c r="C51" s="35" t="s">
        <v>1393</v>
      </c>
      <c r="D51" s="35" t="s">
        <v>976</v>
      </c>
      <c r="F51" s="35" t="s">
        <v>1395</v>
      </c>
      <c r="H51" s="35" t="s">
        <v>972</v>
      </c>
      <c r="I51" s="35">
        <v>1</v>
      </c>
      <c r="J51" s="35" t="s">
        <v>977</v>
      </c>
      <c r="L51" s="35" t="s">
        <v>972</v>
      </c>
      <c r="N51" s="35" t="s">
        <v>1260</v>
      </c>
      <c r="P51" s="35">
        <v>0</v>
      </c>
      <c r="Q51" s="35" t="s">
        <v>1156</v>
      </c>
      <c r="R51" s="35" t="s">
        <v>1396</v>
      </c>
      <c r="V51" s="35" t="s">
        <v>972</v>
      </c>
      <c r="W51" s="35" t="s">
        <v>1469</v>
      </c>
      <c r="X51" s="35" t="s">
        <v>976</v>
      </c>
      <c r="AC51" s="35" t="s">
        <v>1398</v>
      </c>
      <c r="AG51" s="35" t="s">
        <v>1463</v>
      </c>
      <c r="AI51" s="35" t="s">
        <v>1418</v>
      </c>
      <c r="AK51" s="39">
        <v>0.94</v>
      </c>
      <c r="AL51" s="35" t="s">
        <v>976</v>
      </c>
      <c r="AN51" s="35" t="s">
        <v>990</v>
      </c>
      <c r="AO51" s="35" t="s">
        <v>1263</v>
      </c>
    </row>
    <row r="52" spans="1:86" ht="38.25" x14ac:dyDescent="0.2">
      <c r="A52" s="34" t="s">
        <v>950</v>
      </c>
      <c r="B52" s="35" t="s">
        <v>972</v>
      </c>
      <c r="C52" s="35" t="s">
        <v>1393</v>
      </c>
      <c r="D52" s="35" t="s">
        <v>972</v>
      </c>
      <c r="E52" s="35" t="s">
        <v>1477</v>
      </c>
      <c r="F52" s="35" t="s">
        <v>1395</v>
      </c>
      <c r="H52" s="35" t="s">
        <v>976</v>
      </c>
      <c r="J52" s="35" t="s">
        <v>977</v>
      </c>
      <c r="L52" s="35" t="s">
        <v>972</v>
      </c>
      <c r="M52" s="35">
        <v>1</v>
      </c>
      <c r="N52" s="35" t="s">
        <v>1260</v>
      </c>
      <c r="P52" s="35">
        <v>0</v>
      </c>
      <c r="Q52" s="35" t="s">
        <v>1156</v>
      </c>
      <c r="R52" s="35" t="s">
        <v>1396</v>
      </c>
      <c r="T52" s="39">
        <v>7.0000000000000007E-2</v>
      </c>
      <c r="U52" s="39">
        <v>0.05</v>
      </c>
      <c r="V52" s="35" t="s">
        <v>976</v>
      </c>
      <c r="AC52" s="35" t="s">
        <v>1398</v>
      </c>
      <c r="AG52" s="35" t="s">
        <v>1405</v>
      </c>
      <c r="AI52" s="35" t="s">
        <v>990</v>
      </c>
      <c r="AJ52" s="35" t="s">
        <v>1478</v>
      </c>
      <c r="AK52" s="39">
        <v>0.83</v>
      </c>
      <c r="AL52" s="35" t="s">
        <v>976</v>
      </c>
      <c r="AN52" s="35" t="s">
        <v>1008</v>
      </c>
    </row>
    <row r="53" spans="1:86" x14ac:dyDescent="0.2">
      <c r="A53" s="34" t="s">
        <v>940</v>
      </c>
      <c r="B53" s="35" t="s">
        <v>972</v>
      </c>
      <c r="C53" s="35" t="s">
        <v>1430</v>
      </c>
      <c r="D53" s="35" t="s">
        <v>976</v>
      </c>
      <c r="F53" s="35" t="s">
        <v>1440</v>
      </c>
      <c r="BX53" s="35" t="s">
        <v>1459</v>
      </c>
    </row>
    <row r="54" spans="1:86" ht="38.25" x14ac:dyDescent="0.2">
      <c r="A54" s="34" t="s">
        <v>960</v>
      </c>
      <c r="B54" s="35" t="s">
        <v>972</v>
      </c>
      <c r="C54" s="35" t="s">
        <v>1435</v>
      </c>
      <c r="D54" s="35" t="s">
        <v>972</v>
      </c>
      <c r="E54" s="35" t="s">
        <v>1443</v>
      </c>
      <c r="F54" s="35" t="s">
        <v>1395</v>
      </c>
      <c r="H54" s="35" t="s">
        <v>976</v>
      </c>
      <c r="J54" s="35" t="s">
        <v>977</v>
      </c>
      <c r="L54" s="35" t="s">
        <v>972</v>
      </c>
      <c r="N54" s="35" t="s">
        <v>1326</v>
      </c>
      <c r="Q54" s="35" t="s">
        <v>1156</v>
      </c>
      <c r="R54" s="35" t="s">
        <v>1396</v>
      </c>
      <c r="V54" s="35" t="s">
        <v>972</v>
      </c>
      <c r="W54" s="80" t="s">
        <v>3892</v>
      </c>
      <c r="X54" s="35" t="s">
        <v>972</v>
      </c>
      <c r="Y54" s="35" t="s">
        <v>1145</v>
      </c>
      <c r="Z54" s="39">
        <v>7.0000000000000007E-2</v>
      </c>
      <c r="AC54" s="35" t="s">
        <v>1398</v>
      </c>
      <c r="AG54" s="35" t="s">
        <v>1413</v>
      </c>
      <c r="AL54" s="35" t="s">
        <v>976</v>
      </c>
      <c r="AN54" s="35" t="s">
        <v>990</v>
      </c>
      <c r="AO54" s="35" t="s">
        <v>1465</v>
      </c>
    </row>
    <row r="55" spans="1:86" ht="38.25" x14ac:dyDescent="0.2">
      <c r="A55" s="34" t="s">
        <v>916</v>
      </c>
      <c r="B55" s="35" t="s">
        <v>972</v>
      </c>
      <c r="C55" s="35" t="s">
        <v>1393</v>
      </c>
      <c r="D55" s="35" t="s">
        <v>976</v>
      </c>
      <c r="F55" s="35" t="s">
        <v>1395</v>
      </c>
      <c r="H55" s="35" t="s">
        <v>976</v>
      </c>
      <c r="J55" s="35" t="s">
        <v>977</v>
      </c>
      <c r="L55" s="35" t="s">
        <v>972</v>
      </c>
      <c r="M55" s="35">
        <v>0</v>
      </c>
      <c r="N55" s="35" t="s">
        <v>1416</v>
      </c>
      <c r="P55" s="35">
        <v>0</v>
      </c>
      <c r="Q55" s="35" t="s">
        <v>1156</v>
      </c>
      <c r="R55" s="35" t="s">
        <v>1396</v>
      </c>
      <c r="T55" s="39">
        <v>0</v>
      </c>
      <c r="U55" s="39">
        <v>0.01</v>
      </c>
      <c r="V55" s="35" t="s">
        <v>972</v>
      </c>
      <c r="W55" s="35" t="s">
        <v>1417</v>
      </c>
      <c r="X55" s="35" t="s">
        <v>976</v>
      </c>
      <c r="AC55" s="35" t="s">
        <v>1398</v>
      </c>
      <c r="AG55" s="35" t="s">
        <v>1405</v>
      </c>
      <c r="AI55" s="35" t="s">
        <v>1418</v>
      </c>
      <c r="AK55" s="39">
        <v>0.85</v>
      </c>
      <c r="AL55" s="35" t="s">
        <v>976</v>
      </c>
      <c r="AN55" s="35" t="s">
        <v>1008</v>
      </c>
    </row>
    <row r="56" spans="1:86" x14ac:dyDescent="0.2">
      <c r="A56" s="34" t="s">
        <v>946</v>
      </c>
      <c r="B56" s="35" t="s">
        <v>1023</v>
      </c>
      <c r="F56" s="35" t="s">
        <v>1395</v>
      </c>
    </row>
    <row r="57" spans="1:86" ht="76.5" x14ac:dyDescent="0.2">
      <c r="A57" s="34" t="s">
        <v>919</v>
      </c>
      <c r="B57" s="35" t="s">
        <v>972</v>
      </c>
      <c r="C57" s="35" t="s">
        <v>1393</v>
      </c>
      <c r="D57" s="35" t="s">
        <v>972</v>
      </c>
      <c r="E57" s="35" t="s">
        <v>1424</v>
      </c>
      <c r="F57" s="35" t="s">
        <v>1395</v>
      </c>
      <c r="H57" s="35" t="s">
        <v>976</v>
      </c>
      <c r="J57" s="35" t="s">
        <v>977</v>
      </c>
      <c r="L57" s="35" t="s">
        <v>972</v>
      </c>
      <c r="M57" s="35">
        <v>15</v>
      </c>
      <c r="N57" s="35" t="s">
        <v>990</v>
      </c>
      <c r="O57" s="35" t="s">
        <v>1425</v>
      </c>
      <c r="P57" s="35">
        <v>30</v>
      </c>
      <c r="Q57" s="35" t="s">
        <v>1156</v>
      </c>
      <c r="R57" s="35" t="s">
        <v>1396</v>
      </c>
      <c r="V57" s="35" t="s">
        <v>972</v>
      </c>
      <c r="W57" s="35" t="s">
        <v>1426</v>
      </c>
      <c r="X57" s="35" t="s">
        <v>972</v>
      </c>
      <c r="Y57" s="35" t="s">
        <v>1145</v>
      </c>
      <c r="Z57" s="39">
        <v>0.06</v>
      </c>
      <c r="AC57" s="35" t="s">
        <v>1398</v>
      </c>
      <c r="AG57" s="35" t="s">
        <v>1399</v>
      </c>
      <c r="AL57" s="35" t="s">
        <v>976</v>
      </c>
      <c r="AN57" s="35" t="s">
        <v>990</v>
      </c>
      <c r="AO57" s="35" t="s">
        <v>1427</v>
      </c>
    </row>
    <row r="58" spans="1:86" ht="51" x14ac:dyDescent="0.2">
      <c r="A58" s="34" t="s">
        <v>929</v>
      </c>
      <c r="B58" s="35" t="s">
        <v>972</v>
      </c>
      <c r="C58" s="35" t="s">
        <v>1393</v>
      </c>
      <c r="D58" s="35" t="s">
        <v>976</v>
      </c>
      <c r="F58" s="35" t="s">
        <v>1440</v>
      </c>
      <c r="H58" s="35" t="s">
        <v>976</v>
      </c>
      <c r="J58" s="35" t="s">
        <v>977</v>
      </c>
      <c r="L58" s="35" t="s">
        <v>972</v>
      </c>
      <c r="M58" s="35">
        <v>0</v>
      </c>
      <c r="N58" s="35" t="s">
        <v>1260</v>
      </c>
      <c r="P58" s="35">
        <v>0</v>
      </c>
      <c r="Q58" s="35" t="s">
        <v>1156</v>
      </c>
      <c r="R58" s="35" t="s">
        <v>1403</v>
      </c>
      <c r="V58" s="35" t="s">
        <v>972</v>
      </c>
      <c r="W58" s="80" t="s">
        <v>3893</v>
      </c>
      <c r="X58" s="35" t="s">
        <v>972</v>
      </c>
      <c r="Y58" s="35" t="s">
        <v>1145</v>
      </c>
      <c r="Z58" s="39">
        <v>0.09</v>
      </c>
      <c r="AC58" s="35" t="s">
        <v>1398</v>
      </c>
      <c r="AG58" s="35" t="s">
        <v>1399</v>
      </c>
      <c r="AI58" s="35" t="s">
        <v>1418</v>
      </c>
      <c r="AK58" s="39">
        <v>0</v>
      </c>
      <c r="AL58" s="35" t="s">
        <v>976</v>
      </c>
      <c r="AN58" s="35" t="s">
        <v>1008</v>
      </c>
    </row>
    <row r="59" spans="1:86" s="37" customFormat="1" x14ac:dyDescent="0.2">
      <c r="A59" s="34" t="s">
        <v>943</v>
      </c>
      <c r="B59" s="35" t="s">
        <v>972</v>
      </c>
      <c r="C59" s="35" t="s">
        <v>1430</v>
      </c>
      <c r="D59" s="35" t="s">
        <v>976</v>
      </c>
      <c r="E59" s="35"/>
      <c r="F59" s="35" t="s">
        <v>1437</v>
      </c>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t="s">
        <v>1468</v>
      </c>
      <c r="BY59" s="35"/>
      <c r="BZ59" s="35"/>
      <c r="CA59" s="35"/>
      <c r="CB59" s="35"/>
      <c r="CC59" s="35"/>
      <c r="CD59" s="35"/>
      <c r="CE59" s="35"/>
      <c r="CF59" s="35"/>
      <c r="CG59" s="35"/>
      <c r="CH59" s="35"/>
    </row>
    <row r="60" spans="1:86" s="37" customFormat="1" ht="38.25" x14ac:dyDescent="0.2">
      <c r="A60" s="34" t="s">
        <v>953</v>
      </c>
      <c r="B60" s="35" t="s">
        <v>972</v>
      </c>
      <c r="C60" s="35" t="s">
        <v>1435</v>
      </c>
      <c r="D60" s="35" t="s">
        <v>972</v>
      </c>
      <c r="E60" s="35" t="s">
        <v>1480</v>
      </c>
      <c r="F60" s="35" t="s">
        <v>1395</v>
      </c>
      <c r="G60" s="35"/>
      <c r="H60" s="35" t="s">
        <v>976</v>
      </c>
      <c r="I60" s="35"/>
      <c r="J60" s="35" t="s">
        <v>977</v>
      </c>
      <c r="K60" s="35"/>
      <c r="L60" s="35" t="s">
        <v>972</v>
      </c>
      <c r="M60" s="35">
        <v>0</v>
      </c>
      <c r="N60" s="35" t="s">
        <v>1260</v>
      </c>
      <c r="O60" s="35"/>
      <c r="P60" s="35">
        <v>1</v>
      </c>
      <c r="Q60" s="35" t="s">
        <v>1156</v>
      </c>
      <c r="R60" s="35" t="s">
        <v>1428</v>
      </c>
      <c r="S60" s="35"/>
      <c r="T60" s="39">
        <v>0.08</v>
      </c>
      <c r="U60" s="35"/>
      <c r="V60" s="35"/>
      <c r="W60" s="35"/>
      <c r="X60" s="35"/>
      <c r="Y60" s="35"/>
      <c r="Z60" s="35"/>
      <c r="AA60" s="35"/>
      <c r="AB60" s="35"/>
      <c r="AC60" s="35" t="s">
        <v>1398</v>
      </c>
      <c r="AD60" s="35"/>
      <c r="AE60" s="35"/>
      <c r="AF60" s="35"/>
      <c r="AG60" s="35" t="s">
        <v>1413</v>
      </c>
      <c r="AH60" s="35"/>
      <c r="AI60" s="35" t="s">
        <v>1418</v>
      </c>
      <c r="AJ60" s="35"/>
      <c r="AK60" s="39">
        <v>1</v>
      </c>
      <c r="AL60" s="35" t="s">
        <v>976</v>
      </c>
      <c r="AM60" s="35"/>
      <c r="AN60" s="35" t="s">
        <v>990</v>
      </c>
      <c r="AO60" s="35" t="s">
        <v>1263</v>
      </c>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t="s">
        <v>1481</v>
      </c>
      <c r="BY60" s="35"/>
      <c r="BZ60" s="35"/>
      <c r="CA60" s="35"/>
      <c r="CB60" s="35"/>
      <c r="CC60" s="35"/>
      <c r="CD60" s="35"/>
      <c r="CE60" s="35"/>
      <c r="CF60" s="35"/>
      <c r="CG60" s="35"/>
      <c r="CH60" s="35"/>
    </row>
    <row r="61" spans="1:86" s="37" customFormat="1" x14ac:dyDescent="0.2">
      <c r="A61" s="20" t="s">
        <v>3541</v>
      </c>
      <c r="B61" s="21">
        <f t="shared" ref="B61:AG61" si="0">COUNTA(B3:B60)</f>
        <v>58</v>
      </c>
      <c r="C61" s="21">
        <f t="shared" si="0"/>
        <v>53</v>
      </c>
      <c r="D61" s="21">
        <f t="shared" si="0"/>
        <v>52</v>
      </c>
      <c r="E61" s="21">
        <f t="shared" si="0"/>
        <v>21</v>
      </c>
      <c r="F61" s="21">
        <f t="shared" si="0"/>
        <v>58</v>
      </c>
      <c r="G61" s="21">
        <f t="shared" si="0"/>
        <v>1</v>
      </c>
      <c r="H61" s="21">
        <f t="shared" si="0"/>
        <v>41</v>
      </c>
      <c r="I61" s="21">
        <f t="shared" si="0"/>
        <v>3</v>
      </c>
      <c r="J61" s="21">
        <f t="shared" si="0"/>
        <v>41</v>
      </c>
      <c r="K61" s="21">
        <f t="shared" si="0"/>
        <v>0</v>
      </c>
      <c r="L61" s="21">
        <f t="shared" si="0"/>
        <v>41</v>
      </c>
      <c r="M61" s="21">
        <f t="shared" si="0"/>
        <v>28</v>
      </c>
      <c r="N61" s="21">
        <f t="shared" si="0"/>
        <v>41</v>
      </c>
      <c r="O61" s="21">
        <f t="shared" si="0"/>
        <v>3</v>
      </c>
      <c r="P61" s="21">
        <f t="shared" si="0"/>
        <v>39</v>
      </c>
      <c r="Q61" s="21">
        <f t="shared" si="0"/>
        <v>41</v>
      </c>
      <c r="R61" s="21">
        <f t="shared" si="0"/>
        <v>41</v>
      </c>
      <c r="S61" s="21">
        <f t="shared" si="0"/>
        <v>0</v>
      </c>
      <c r="T61" s="21">
        <f t="shared" si="0"/>
        <v>24</v>
      </c>
      <c r="U61" s="21">
        <f t="shared" si="0"/>
        <v>20</v>
      </c>
      <c r="V61" s="21">
        <f t="shared" si="0"/>
        <v>36</v>
      </c>
      <c r="W61" s="21">
        <f t="shared" si="0"/>
        <v>25</v>
      </c>
      <c r="X61" s="21">
        <f t="shared" si="0"/>
        <v>27</v>
      </c>
      <c r="Y61" s="21">
        <f t="shared" si="0"/>
        <v>22</v>
      </c>
      <c r="Z61" s="21">
        <f t="shared" si="0"/>
        <v>21</v>
      </c>
      <c r="AA61" s="21">
        <f t="shared" si="0"/>
        <v>0</v>
      </c>
      <c r="AB61" s="21">
        <f t="shared" si="0"/>
        <v>1</v>
      </c>
      <c r="AC61" s="21">
        <f t="shared" si="0"/>
        <v>37</v>
      </c>
      <c r="AD61" s="21">
        <f t="shared" si="0"/>
        <v>0</v>
      </c>
      <c r="AE61" s="21">
        <f t="shared" si="0"/>
        <v>0</v>
      </c>
      <c r="AF61" s="21">
        <f t="shared" si="0"/>
        <v>4</v>
      </c>
      <c r="AG61" s="21">
        <f t="shared" si="0"/>
        <v>36</v>
      </c>
      <c r="AH61" s="21">
        <f t="shared" ref="AH61:BM61" si="1">COUNTA(AH3:AH60)</f>
        <v>1</v>
      </c>
      <c r="AI61" s="21">
        <f t="shared" si="1"/>
        <v>32</v>
      </c>
      <c r="AJ61" s="21">
        <f t="shared" si="1"/>
        <v>14</v>
      </c>
      <c r="AK61" s="21">
        <f t="shared" si="1"/>
        <v>27</v>
      </c>
      <c r="AL61" s="21">
        <f t="shared" si="1"/>
        <v>40</v>
      </c>
      <c r="AM61" s="21">
        <f t="shared" si="1"/>
        <v>1</v>
      </c>
      <c r="AN61" s="21">
        <f t="shared" si="1"/>
        <v>40</v>
      </c>
      <c r="AO61" s="21">
        <f t="shared" si="1"/>
        <v>11</v>
      </c>
      <c r="AP61" s="21">
        <f t="shared" si="1"/>
        <v>0</v>
      </c>
      <c r="AQ61" s="21">
        <f t="shared" si="1"/>
        <v>0</v>
      </c>
      <c r="AR61" s="21">
        <f t="shared" si="1"/>
        <v>0</v>
      </c>
      <c r="AS61" s="21">
        <f t="shared" si="1"/>
        <v>0</v>
      </c>
      <c r="AT61" s="21">
        <f t="shared" si="1"/>
        <v>0</v>
      </c>
      <c r="AU61" s="21">
        <f t="shared" si="1"/>
        <v>0</v>
      </c>
      <c r="AV61" s="21">
        <f t="shared" si="1"/>
        <v>0</v>
      </c>
      <c r="AW61" s="21">
        <f t="shared" si="1"/>
        <v>0</v>
      </c>
      <c r="AX61" s="21">
        <f t="shared" si="1"/>
        <v>0</v>
      </c>
      <c r="AY61" s="21">
        <f t="shared" si="1"/>
        <v>0</v>
      </c>
      <c r="AZ61" s="21">
        <f t="shared" si="1"/>
        <v>0</v>
      </c>
      <c r="BA61" s="21">
        <f t="shared" si="1"/>
        <v>0</v>
      </c>
      <c r="BB61" s="21">
        <f t="shared" si="1"/>
        <v>0</v>
      </c>
      <c r="BC61" s="21">
        <f t="shared" si="1"/>
        <v>0</v>
      </c>
      <c r="BD61" s="21">
        <f t="shared" si="1"/>
        <v>0</v>
      </c>
      <c r="BE61" s="21">
        <f t="shared" si="1"/>
        <v>0</v>
      </c>
      <c r="BF61" s="21">
        <f t="shared" si="1"/>
        <v>0</v>
      </c>
      <c r="BG61" s="21">
        <f t="shared" si="1"/>
        <v>0</v>
      </c>
      <c r="BH61" s="21">
        <f t="shared" si="1"/>
        <v>0</v>
      </c>
      <c r="BI61" s="21">
        <f t="shared" si="1"/>
        <v>0</v>
      </c>
      <c r="BJ61" s="21">
        <f t="shared" si="1"/>
        <v>0</v>
      </c>
      <c r="BK61" s="21">
        <f t="shared" si="1"/>
        <v>0</v>
      </c>
      <c r="BL61" s="21">
        <f t="shared" si="1"/>
        <v>0</v>
      </c>
      <c r="BM61" s="21">
        <f t="shared" si="1"/>
        <v>0</v>
      </c>
      <c r="BN61" s="21">
        <f t="shared" ref="BN61:CH61" si="2">COUNTA(BN3:BN60)</f>
        <v>0</v>
      </c>
      <c r="BO61" s="21">
        <f t="shared" si="2"/>
        <v>0</v>
      </c>
      <c r="BP61" s="21">
        <f t="shared" si="2"/>
        <v>0</v>
      </c>
      <c r="BQ61" s="21">
        <f t="shared" si="2"/>
        <v>0</v>
      </c>
      <c r="BR61" s="21">
        <f t="shared" si="2"/>
        <v>0</v>
      </c>
      <c r="BS61" s="21">
        <f t="shared" si="2"/>
        <v>0</v>
      </c>
      <c r="BT61" s="21">
        <f t="shared" si="2"/>
        <v>0</v>
      </c>
      <c r="BU61" s="21">
        <f t="shared" si="2"/>
        <v>0</v>
      </c>
      <c r="BV61" s="21">
        <f t="shared" si="2"/>
        <v>0</v>
      </c>
      <c r="BW61" s="21">
        <f t="shared" si="2"/>
        <v>0</v>
      </c>
      <c r="BX61" s="21">
        <f t="shared" si="2"/>
        <v>13</v>
      </c>
      <c r="BY61" s="21">
        <f t="shared" si="2"/>
        <v>4</v>
      </c>
      <c r="BZ61" s="21">
        <f t="shared" si="2"/>
        <v>0</v>
      </c>
      <c r="CA61" s="21">
        <f t="shared" si="2"/>
        <v>0</v>
      </c>
      <c r="CB61" s="21">
        <f t="shared" si="2"/>
        <v>2</v>
      </c>
      <c r="CC61" s="21">
        <f t="shared" si="2"/>
        <v>0</v>
      </c>
      <c r="CD61" s="21">
        <f t="shared" si="2"/>
        <v>2</v>
      </c>
      <c r="CE61" s="21">
        <f t="shared" si="2"/>
        <v>2</v>
      </c>
      <c r="CF61" s="21">
        <f t="shared" si="2"/>
        <v>0</v>
      </c>
      <c r="CG61" s="21">
        <f t="shared" si="2"/>
        <v>2</v>
      </c>
      <c r="CH61" s="21">
        <f t="shared" si="2"/>
        <v>0</v>
      </c>
    </row>
    <row r="62" spans="1:86" s="37" customFormat="1" x14ac:dyDescent="0.2">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row>
    <row r="63" spans="1:86" s="37" customFormat="1" x14ac:dyDescent="0.2">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row>
    <row r="64" spans="1:86" s="37" customFormat="1" x14ac:dyDescent="0.2">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row>
    <row r="65" spans="2:86" s="37" customFormat="1" x14ac:dyDescent="0.2">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row>
    <row r="66" spans="2:86" s="37" customFormat="1" x14ac:dyDescent="0.2">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row>
    <row r="67" spans="2:86" s="37" customFormat="1" x14ac:dyDescent="0.2">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row>
    <row r="68" spans="2:86" s="37" customFormat="1" x14ac:dyDescent="0.2">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row>
    <row r="69" spans="2:86" s="37" customFormat="1" x14ac:dyDescent="0.2">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row>
    <row r="70" spans="2:86" s="37" customFormat="1" x14ac:dyDescent="0.2">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row>
    <row r="71" spans="2:86" s="37" customFormat="1" x14ac:dyDescent="0.2">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row>
  </sheetData>
  <autoFilter ref="A2:CH2" xr:uid="{EF88C843-A9D8-493D-B361-7819B6B671C8}"/>
  <sortState xmlns:xlrd2="http://schemas.microsoft.com/office/spreadsheetml/2017/richdata2" ref="A3:CH61">
    <sortCondition ref="A3:A61"/>
  </sortState>
  <conditionalFormatting sqref="A3:A59">
    <cfRule type="duplicateValues" dxfId="20" priority="2"/>
    <cfRule type="duplicateValues" dxfId="19" priority="3"/>
  </conditionalFormatting>
  <conditionalFormatting sqref="A60">
    <cfRule type="duplicateValues" dxfId="18" priority="1"/>
  </conditionalFormatting>
  <hyperlinks>
    <hyperlink ref="A1" location="Index!A1" display="Back to Index"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61"/>
  <sheetViews>
    <sheetView zoomScaleNormal="100" workbookViewId="0">
      <pane xSplit="1" ySplit="2" topLeftCell="B3" activePane="bottomRight" state="frozen"/>
      <selection sqref="A1:B1"/>
      <selection pane="topRight" sqref="A1:B1"/>
      <selection pane="bottomLeft" sqref="A1:B1"/>
      <selection pane="bottomRight" activeCell="B3" sqref="B3"/>
    </sheetView>
  </sheetViews>
  <sheetFormatPr defaultRowHeight="12.75" x14ac:dyDescent="0.2"/>
  <cols>
    <col min="1" max="1" width="13.5703125" style="34" bestFit="1" customWidth="1"/>
    <col min="2" max="3" width="30.7109375" style="35" customWidth="1"/>
    <col min="4" max="4" width="60.7109375" style="35" customWidth="1"/>
    <col min="5" max="7" width="30.7109375" style="35" customWidth="1"/>
    <col min="8" max="8" width="50.7109375" style="35" customWidth="1"/>
    <col min="9" max="9" width="30.7109375" style="35" customWidth="1"/>
    <col min="10" max="10" width="70.7109375" style="35" customWidth="1"/>
    <col min="11" max="13" width="30.7109375" style="35" customWidth="1"/>
    <col min="14" max="14" width="60.7109375" style="35" customWidth="1"/>
    <col min="15" max="34" width="30.7109375" style="35" customWidth="1"/>
    <col min="35" max="16384" width="9.140625" style="34"/>
  </cols>
  <sheetData>
    <row r="1" spans="1:34" s="33" customFormat="1" x14ac:dyDescent="0.2">
      <c r="A1" s="31" t="s">
        <v>969</v>
      </c>
      <c r="B1" s="32" t="s">
        <v>433</v>
      </c>
      <c r="C1" s="32" t="s">
        <v>434</v>
      </c>
      <c r="D1" s="32" t="s">
        <v>435</v>
      </c>
      <c r="E1" s="32" t="s">
        <v>436</v>
      </c>
      <c r="F1" s="32" t="s">
        <v>437</v>
      </c>
      <c r="G1" s="32" t="s">
        <v>438</v>
      </c>
      <c r="H1" s="32" t="s">
        <v>439</v>
      </c>
      <c r="I1" s="32" t="s">
        <v>440</v>
      </c>
      <c r="J1" s="32" t="s">
        <v>441</v>
      </c>
      <c r="K1" s="32" t="s">
        <v>442</v>
      </c>
      <c r="L1" s="32" t="s">
        <v>443</v>
      </c>
      <c r="M1" s="32" t="s">
        <v>444</v>
      </c>
      <c r="N1" s="32" t="s">
        <v>445</v>
      </c>
      <c r="O1" s="32" t="s">
        <v>446</v>
      </c>
      <c r="P1" s="32" t="s">
        <v>447</v>
      </c>
      <c r="Q1" s="32" t="s">
        <v>448</v>
      </c>
      <c r="R1" s="32" t="s">
        <v>449</v>
      </c>
      <c r="S1" s="32" t="s">
        <v>450</v>
      </c>
      <c r="T1" s="32" t="s">
        <v>451</v>
      </c>
      <c r="U1" s="32" t="s">
        <v>452</v>
      </c>
      <c r="V1" s="32" t="s">
        <v>453</v>
      </c>
      <c r="W1" s="32" t="s">
        <v>454</v>
      </c>
      <c r="X1" s="32" t="s">
        <v>455</v>
      </c>
      <c r="Y1" s="32" t="s">
        <v>456</v>
      </c>
      <c r="Z1" s="32" t="s">
        <v>457</v>
      </c>
      <c r="AA1" s="32" t="s">
        <v>458</v>
      </c>
      <c r="AB1" s="32" t="s">
        <v>459</v>
      </c>
      <c r="AC1" s="32" t="s">
        <v>460</v>
      </c>
      <c r="AD1" s="32" t="s">
        <v>461</v>
      </c>
      <c r="AE1" s="32" t="s">
        <v>462</v>
      </c>
      <c r="AF1" s="32" t="s">
        <v>463</v>
      </c>
      <c r="AG1" s="32" t="s">
        <v>464</v>
      </c>
      <c r="AH1" s="32" t="s">
        <v>465</v>
      </c>
    </row>
    <row r="2" spans="1:34" s="33" customFormat="1" ht="63.75" x14ac:dyDescent="0.2">
      <c r="A2" s="33" t="s">
        <v>968</v>
      </c>
      <c r="B2" s="4" t="s">
        <v>2972</v>
      </c>
      <c r="C2" s="32" t="s">
        <v>2973</v>
      </c>
      <c r="D2" s="4" t="s">
        <v>2974</v>
      </c>
      <c r="E2" s="4" t="s">
        <v>2975</v>
      </c>
      <c r="F2" s="32" t="s">
        <v>2976</v>
      </c>
      <c r="G2" s="32" t="s">
        <v>2977</v>
      </c>
      <c r="H2" s="4" t="s">
        <v>2978</v>
      </c>
      <c r="I2" s="4" t="s">
        <v>2979</v>
      </c>
      <c r="J2" s="32" t="s">
        <v>2980</v>
      </c>
      <c r="K2" s="32" t="s">
        <v>2981</v>
      </c>
      <c r="L2" s="4" t="s">
        <v>2982</v>
      </c>
      <c r="M2" s="4" t="s">
        <v>2983</v>
      </c>
      <c r="N2" s="32" t="s">
        <v>2984</v>
      </c>
      <c r="O2" s="4" t="s">
        <v>2985</v>
      </c>
      <c r="P2" s="4" t="s">
        <v>3448</v>
      </c>
      <c r="Q2" s="32" t="s">
        <v>2986</v>
      </c>
      <c r="R2" s="32" t="s">
        <v>2987</v>
      </c>
      <c r="S2" s="32" t="s">
        <v>2988</v>
      </c>
      <c r="T2" s="32" t="s">
        <v>2989</v>
      </c>
      <c r="U2" s="32" t="s">
        <v>2990</v>
      </c>
      <c r="V2" s="4" t="s">
        <v>2991</v>
      </c>
      <c r="W2" s="32" t="s">
        <v>2992</v>
      </c>
      <c r="X2" s="32" t="s">
        <v>2993</v>
      </c>
      <c r="Y2" s="4" t="s">
        <v>2994</v>
      </c>
      <c r="Z2" s="4" t="s">
        <v>2995</v>
      </c>
      <c r="AA2" s="32" t="s">
        <v>2996</v>
      </c>
      <c r="AB2" s="32" t="s">
        <v>2997</v>
      </c>
      <c r="AC2" s="32" t="s">
        <v>2998</v>
      </c>
      <c r="AD2" s="32" t="s">
        <v>2999</v>
      </c>
      <c r="AE2" s="4" t="s">
        <v>3000</v>
      </c>
      <c r="AF2" s="4" t="s">
        <v>3001</v>
      </c>
      <c r="AG2" s="4" t="s">
        <v>3002</v>
      </c>
      <c r="AH2" s="32" t="s">
        <v>3449</v>
      </c>
    </row>
    <row r="3" spans="1:34" ht="38.25" x14ac:dyDescent="0.2">
      <c r="A3" s="34" t="s">
        <v>922</v>
      </c>
      <c r="J3" s="35" t="s">
        <v>1564</v>
      </c>
      <c r="K3" s="35" t="s">
        <v>1565</v>
      </c>
      <c r="L3" s="35" t="s">
        <v>990</v>
      </c>
      <c r="M3" s="35" t="s">
        <v>1566</v>
      </c>
      <c r="N3" s="35" t="s">
        <v>1567</v>
      </c>
      <c r="O3" s="35" t="s">
        <v>1522</v>
      </c>
      <c r="Q3" s="35" t="s">
        <v>976</v>
      </c>
      <c r="V3" s="35" t="s">
        <v>972</v>
      </c>
      <c r="W3" s="35" t="s">
        <v>1568</v>
      </c>
      <c r="Y3" s="35" t="s">
        <v>1501</v>
      </c>
      <c r="AA3" s="35" t="s">
        <v>1569</v>
      </c>
      <c r="AB3" s="35" t="s">
        <v>976</v>
      </c>
      <c r="AE3" s="35" t="s">
        <v>976</v>
      </c>
    </row>
    <row r="4" spans="1:34" ht="63.75" x14ac:dyDescent="0.2">
      <c r="A4" s="34" t="s">
        <v>930</v>
      </c>
      <c r="B4" s="35" t="s">
        <v>1495</v>
      </c>
      <c r="C4" s="35" t="s">
        <v>1503</v>
      </c>
      <c r="D4" s="35" t="s">
        <v>3653</v>
      </c>
      <c r="F4" s="35" t="s">
        <v>3593</v>
      </c>
      <c r="H4" s="35" t="s">
        <v>1524</v>
      </c>
      <c r="J4" s="35" t="s">
        <v>1598</v>
      </c>
      <c r="L4" s="35" t="s">
        <v>1511</v>
      </c>
      <c r="N4" s="35" t="s">
        <v>1599</v>
      </c>
      <c r="O4" s="35" t="s">
        <v>1600</v>
      </c>
      <c r="Q4" s="35" t="s">
        <v>972</v>
      </c>
      <c r="R4" s="35" t="s">
        <v>1601</v>
      </c>
      <c r="T4" s="35" t="s">
        <v>3640</v>
      </c>
      <c r="V4" s="35" t="s">
        <v>976</v>
      </c>
      <c r="AB4" s="35" t="s">
        <v>976</v>
      </c>
      <c r="AE4" s="35" t="s">
        <v>976</v>
      </c>
      <c r="AH4" s="35" t="s">
        <v>1603</v>
      </c>
    </row>
    <row r="5" spans="1:34" ht="63.75" x14ac:dyDescent="0.2">
      <c r="A5" s="34" t="s">
        <v>927</v>
      </c>
      <c r="B5" s="35" t="s">
        <v>1507</v>
      </c>
      <c r="C5" s="35" t="s">
        <v>1503</v>
      </c>
      <c r="D5" s="35" t="s">
        <v>3653</v>
      </c>
      <c r="F5" s="35" t="s">
        <v>3590</v>
      </c>
      <c r="H5" s="35" t="s">
        <v>1531</v>
      </c>
      <c r="J5" s="35" t="s">
        <v>1589</v>
      </c>
      <c r="L5" s="35" t="s">
        <v>1511</v>
      </c>
      <c r="O5" s="35" t="s">
        <v>1522</v>
      </c>
      <c r="Q5" s="35" t="s">
        <v>976</v>
      </c>
      <c r="V5" s="35" t="s">
        <v>972</v>
      </c>
      <c r="W5" s="35" t="s">
        <v>990</v>
      </c>
      <c r="X5" s="35" t="s">
        <v>1590</v>
      </c>
      <c r="Y5" s="35" t="s">
        <v>1591</v>
      </c>
      <c r="AB5" s="35" t="s">
        <v>976</v>
      </c>
      <c r="AE5" s="35" t="s">
        <v>976</v>
      </c>
      <c r="AH5" s="35" t="s">
        <v>1592</v>
      </c>
    </row>
    <row r="6" spans="1:34" ht="38.25" x14ac:dyDescent="0.2">
      <c r="A6" s="34" t="s">
        <v>914</v>
      </c>
      <c r="B6" s="35" t="s">
        <v>1495</v>
      </c>
      <c r="C6" s="35" t="s">
        <v>1496</v>
      </c>
      <c r="D6" s="35" t="s">
        <v>1518</v>
      </c>
      <c r="F6" s="35" t="s">
        <v>1519</v>
      </c>
      <c r="H6" s="35" t="s">
        <v>1520</v>
      </c>
      <c r="J6" s="35" t="s">
        <v>1521</v>
      </c>
      <c r="L6" s="35" t="s">
        <v>1511</v>
      </c>
      <c r="O6" s="35" t="s">
        <v>1522</v>
      </c>
      <c r="Q6" s="35" t="s">
        <v>976</v>
      </c>
      <c r="V6" s="35" t="s">
        <v>976</v>
      </c>
      <c r="AB6" s="35" t="s">
        <v>976</v>
      </c>
      <c r="AE6" s="35" t="s">
        <v>976</v>
      </c>
    </row>
    <row r="7" spans="1:34" ht="76.5" x14ac:dyDescent="0.2">
      <c r="A7" s="34" t="s">
        <v>920</v>
      </c>
      <c r="B7" s="35" t="s">
        <v>1495</v>
      </c>
      <c r="C7" s="35" t="s">
        <v>1538</v>
      </c>
      <c r="D7" s="35" t="s">
        <v>3654</v>
      </c>
      <c r="F7" s="35" t="s">
        <v>1556</v>
      </c>
      <c r="H7" s="35" t="s">
        <v>1524</v>
      </c>
      <c r="J7" s="35" t="s">
        <v>1557</v>
      </c>
      <c r="L7" s="35" t="s">
        <v>1498</v>
      </c>
      <c r="N7" s="35" t="s">
        <v>1558</v>
      </c>
      <c r="O7" s="35" t="s">
        <v>1513</v>
      </c>
      <c r="Q7" s="35" t="s">
        <v>976</v>
      </c>
      <c r="V7" s="35" t="s">
        <v>1023</v>
      </c>
      <c r="AB7" s="35" t="s">
        <v>976</v>
      </c>
      <c r="AE7" s="35" t="s">
        <v>976</v>
      </c>
      <c r="AH7" s="35" t="s">
        <v>1559</v>
      </c>
    </row>
    <row r="8" spans="1:34" ht="76.5" x14ac:dyDescent="0.2">
      <c r="A8" s="34" t="s">
        <v>959</v>
      </c>
      <c r="B8" s="35" t="s">
        <v>1507</v>
      </c>
      <c r="C8" s="35" t="s">
        <v>1503</v>
      </c>
      <c r="D8" s="35" t="s">
        <v>3655</v>
      </c>
      <c r="F8" s="35" t="s">
        <v>3599</v>
      </c>
      <c r="H8" s="35" t="s">
        <v>1620</v>
      </c>
      <c r="J8" s="35" t="s">
        <v>3622</v>
      </c>
      <c r="L8" s="35" t="s">
        <v>3631</v>
      </c>
      <c r="O8" s="35" t="s">
        <v>1513</v>
      </c>
      <c r="Q8" s="35" t="s">
        <v>976</v>
      </c>
      <c r="V8" s="35" t="s">
        <v>972</v>
      </c>
      <c r="W8" s="35" t="s">
        <v>1717</v>
      </c>
      <c r="Y8" s="35" t="s">
        <v>1501</v>
      </c>
      <c r="AB8" s="35" t="s">
        <v>972</v>
      </c>
      <c r="AC8" s="35" t="s">
        <v>3649</v>
      </c>
      <c r="AE8" s="35" t="s">
        <v>976</v>
      </c>
      <c r="AH8" s="35" t="s">
        <v>1718</v>
      </c>
    </row>
    <row r="9" spans="1:34" ht="89.25" x14ac:dyDescent="0.2">
      <c r="A9" s="34" t="s">
        <v>933</v>
      </c>
      <c r="B9" s="35" t="s">
        <v>1507</v>
      </c>
      <c r="C9" s="35" t="s">
        <v>1503</v>
      </c>
      <c r="D9" s="35" t="s">
        <v>3656</v>
      </c>
      <c r="F9" s="35" t="s">
        <v>3596</v>
      </c>
      <c r="H9" s="35" t="s">
        <v>1497</v>
      </c>
      <c r="J9" s="35" t="s">
        <v>1608</v>
      </c>
      <c r="L9" s="35" t="s">
        <v>1511</v>
      </c>
      <c r="O9" s="35" t="s">
        <v>1513</v>
      </c>
      <c r="Q9" s="35" t="s">
        <v>972</v>
      </c>
      <c r="R9" s="35" t="s">
        <v>1609</v>
      </c>
      <c r="S9" s="35" t="s">
        <v>1610</v>
      </c>
      <c r="T9" s="35" t="s">
        <v>1582</v>
      </c>
      <c r="V9" s="35" t="s">
        <v>972</v>
      </c>
      <c r="W9" s="35" t="s">
        <v>1528</v>
      </c>
      <c r="Y9" s="35" t="s">
        <v>1611</v>
      </c>
      <c r="Z9" s="35" t="s">
        <v>1612</v>
      </c>
      <c r="AB9" s="35" t="s">
        <v>972</v>
      </c>
      <c r="AC9" s="35" t="s">
        <v>1613</v>
      </c>
      <c r="AD9" s="35" t="s">
        <v>1614</v>
      </c>
      <c r="AE9" s="35" t="s">
        <v>976</v>
      </c>
      <c r="AH9" s="35" t="s">
        <v>1615</v>
      </c>
    </row>
    <row r="10" spans="1:34" ht="63.75" x14ac:dyDescent="0.2">
      <c r="A10" s="34" t="s">
        <v>912</v>
      </c>
      <c r="C10" s="35" t="s">
        <v>1503</v>
      </c>
      <c r="D10" s="35" t="s">
        <v>3657</v>
      </c>
      <c r="H10" s="35" t="s">
        <v>1504</v>
      </c>
      <c r="J10" s="35" t="s">
        <v>3621</v>
      </c>
      <c r="L10" s="35" t="s">
        <v>3633</v>
      </c>
      <c r="O10" s="35" t="s">
        <v>3637</v>
      </c>
      <c r="V10" s="35" t="s">
        <v>972</v>
      </c>
      <c r="W10" s="35" t="s">
        <v>1505</v>
      </c>
      <c r="Y10" s="35" t="s">
        <v>1501</v>
      </c>
      <c r="AA10" s="35" t="s">
        <v>1506</v>
      </c>
      <c r="AB10" s="35" t="s">
        <v>1023</v>
      </c>
      <c r="AE10" s="35" t="s">
        <v>972</v>
      </c>
    </row>
    <row r="11" spans="1:34" ht="63.75" x14ac:dyDescent="0.2">
      <c r="A11" s="34" t="s">
        <v>936</v>
      </c>
      <c r="B11" s="35" t="s">
        <v>1626</v>
      </c>
      <c r="C11" s="35" t="s">
        <v>1503</v>
      </c>
      <c r="D11" s="35" t="s">
        <v>3653</v>
      </c>
      <c r="F11" s="35" t="s">
        <v>1561</v>
      </c>
      <c r="H11" s="35" t="s">
        <v>1620</v>
      </c>
      <c r="J11" s="35" t="s">
        <v>1627</v>
      </c>
      <c r="L11" s="35" t="s">
        <v>1595</v>
      </c>
      <c r="O11" s="35" t="s">
        <v>1522</v>
      </c>
      <c r="Q11" s="35" t="s">
        <v>976</v>
      </c>
      <c r="V11" s="35" t="s">
        <v>976</v>
      </c>
      <c r="AB11" s="35" t="s">
        <v>976</v>
      </c>
      <c r="AE11" s="35" t="s">
        <v>976</v>
      </c>
    </row>
    <row r="12" spans="1:34" ht="89.25" x14ac:dyDescent="0.2">
      <c r="A12" s="34" t="s">
        <v>911</v>
      </c>
      <c r="B12" s="35" t="s">
        <v>1495</v>
      </c>
      <c r="C12" s="35" t="s">
        <v>1496</v>
      </c>
      <c r="D12" s="35" t="s">
        <v>3658</v>
      </c>
      <c r="F12" s="35" t="s">
        <v>3597</v>
      </c>
      <c r="H12" s="35" t="s">
        <v>1497</v>
      </c>
      <c r="J12" s="35" t="s">
        <v>3626</v>
      </c>
      <c r="L12" s="35" t="s">
        <v>1498</v>
      </c>
      <c r="N12" s="35" t="s">
        <v>1499</v>
      </c>
      <c r="O12" s="35" t="s">
        <v>3637</v>
      </c>
      <c r="Q12" s="35" t="s">
        <v>976</v>
      </c>
      <c r="V12" s="35" t="s">
        <v>972</v>
      </c>
      <c r="W12" s="35" t="s">
        <v>1500</v>
      </c>
      <c r="Y12" s="35" t="s">
        <v>1501</v>
      </c>
      <c r="AA12" s="35" t="s">
        <v>1502</v>
      </c>
      <c r="AB12" s="35" t="s">
        <v>972</v>
      </c>
      <c r="AC12" s="35" t="s">
        <v>3650</v>
      </c>
      <c r="AE12" s="35" t="s">
        <v>1023</v>
      </c>
    </row>
    <row r="13" spans="1:34" ht="51" x14ac:dyDescent="0.2">
      <c r="A13" s="34" t="s">
        <v>928</v>
      </c>
      <c r="B13" s="35" t="s">
        <v>1495</v>
      </c>
      <c r="C13" s="35" t="s">
        <v>1496</v>
      </c>
      <c r="D13" s="35" t="s">
        <v>1593</v>
      </c>
      <c r="F13" s="35" t="s">
        <v>3588</v>
      </c>
      <c r="H13" s="35" t="s">
        <v>1594</v>
      </c>
      <c r="J13" s="35" t="s">
        <v>3607</v>
      </c>
      <c r="L13" s="35" t="s">
        <v>1595</v>
      </c>
      <c r="O13" s="35" t="s">
        <v>3637</v>
      </c>
      <c r="Q13" s="35" t="s">
        <v>976</v>
      </c>
      <c r="V13" s="35" t="s">
        <v>976</v>
      </c>
      <c r="AB13" s="35" t="s">
        <v>976</v>
      </c>
      <c r="AE13" s="35" t="s">
        <v>976</v>
      </c>
    </row>
    <row r="14" spans="1:34" ht="38.25" x14ac:dyDescent="0.2">
      <c r="A14" s="34" t="s">
        <v>926</v>
      </c>
      <c r="B14" s="35" t="s">
        <v>1507</v>
      </c>
      <c r="C14" s="35" t="s">
        <v>1503</v>
      </c>
      <c r="D14" s="35" t="s">
        <v>3659</v>
      </c>
      <c r="F14" s="35" t="s">
        <v>1539</v>
      </c>
      <c r="H14" s="35" t="s">
        <v>1587</v>
      </c>
      <c r="J14" s="35" t="s">
        <v>1588</v>
      </c>
      <c r="L14" s="35" t="s">
        <v>1498</v>
      </c>
      <c r="O14" s="35" t="s">
        <v>1513</v>
      </c>
      <c r="Q14" s="35" t="s">
        <v>976</v>
      </c>
      <c r="V14" s="35" t="s">
        <v>976</v>
      </c>
      <c r="AB14" s="35" t="s">
        <v>976</v>
      </c>
      <c r="AE14" s="35" t="s">
        <v>976</v>
      </c>
    </row>
    <row r="15" spans="1:34" ht="63.75" x14ac:dyDescent="0.2">
      <c r="A15" s="34" t="s">
        <v>948</v>
      </c>
      <c r="B15" s="35" t="s">
        <v>1626</v>
      </c>
      <c r="C15" s="35" t="s">
        <v>1503</v>
      </c>
      <c r="D15" s="35" t="s">
        <v>3660</v>
      </c>
      <c r="F15" s="35" t="s">
        <v>1561</v>
      </c>
      <c r="H15" s="35" t="s">
        <v>1504</v>
      </c>
      <c r="J15" s="35" t="s">
        <v>1682</v>
      </c>
      <c r="L15" s="35" t="s">
        <v>1511</v>
      </c>
      <c r="N15" s="35" t="s">
        <v>3635</v>
      </c>
      <c r="O15" s="35" t="s">
        <v>1513</v>
      </c>
      <c r="Q15" s="35" t="s">
        <v>976</v>
      </c>
      <c r="V15" s="35" t="s">
        <v>972</v>
      </c>
      <c r="W15" s="35" t="s">
        <v>1683</v>
      </c>
      <c r="Y15" s="35" t="s">
        <v>990</v>
      </c>
      <c r="Z15" s="35" t="s">
        <v>1684</v>
      </c>
      <c r="AB15" s="35" t="s">
        <v>976</v>
      </c>
      <c r="AE15" s="35" t="s">
        <v>976</v>
      </c>
      <c r="AH15" s="35" t="s">
        <v>1685</v>
      </c>
    </row>
    <row r="16" spans="1:34" ht="63.75" x14ac:dyDescent="0.2">
      <c r="A16" s="34" t="s">
        <v>932</v>
      </c>
      <c r="B16" s="35" t="s">
        <v>1495</v>
      </c>
      <c r="C16" s="35" t="s">
        <v>1496</v>
      </c>
      <c r="D16" s="35" t="s">
        <v>3661</v>
      </c>
      <c r="F16" s="35" t="s">
        <v>3590</v>
      </c>
      <c r="H16" s="35" t="s">
        <v>1497</v>
      </c>
      <c r="J16" s="35" t="s">
        <v>3618</v>
      </c>
      <c r="L16" s="35" t="s">
        <v>1606</v>
      </c>
      <c r="O16" s="35" t="s">
        <v>1522</v>
      </c>
      <c r="Q16" s="35" t="s">
        <v>976</v>
      </c>
      <c r="V16" s="35" t="s">
        <v>972</v>
      </c>
      <c r="W16" s="35" t="s">
        <v>1570</v>
      </c>
      <c r="Y16" s="35" t="s">
        <v>1515</v>
      </c>
      <c r="AA16" s="35" t="s">
        <v>1607</v>
      </c>
      <c r="AB16" s="35" t="s">
        <v>976</v>
      </c>
      <c r="AE16" s="35" t="s">
        <v>976</v>
      </c>
    </row>
    <row r="17" spans="1:34" ht="89.25" x14ac:dyDescent="0.2">
      <c r="A17" s="34" t="s">
        <v>941</v>
      </c>
      <c r="B17" s="35" t="s">
        <v>1626</v>
      </c>
      <c r="C17" s="35" t="s">
        <v>1538</v>
      </c>
      <c r="D17" s="35" t="s">
        <v>3655</v>
      </c>
      <c r="F17" s="35" t="s">
        <v>3594</v>
      </c>
      <c r="H17" s="35" t="s">
        <v>1531</v>
      </c>
      <c r="J17" s="35" t="s">
        <v>3612</v>
      </c>
      <c r="L17" s="35" t="s">
        <v>3630</v>
      </c>
      <c r="O17" s="35" t="s">
        <v>1513</v>
      </c>
      <c r="Q17" s="35" t="s">
        <v>976</v>
      </c>
      <c r="V17" s="35" t="s">
        <v>972</v>
      </c>
      <c r="W17" s="35" t="s">
        <v>1648</v>
      </c>
      <c r="Y17" s="35" t="s">
        <v>1631</v>
      </c>
      <c r="AA17" s="35" t="s">
        <v>1649</v>
      </c>
      <c r="AB17" s="35" t="s">
        <v>1023</v>
      </c>
      <c r="AE17" s="35" t="s">
        <v>972</v>
      </c>
      <c r="AF17" s="35" t="s">
        <v>3652</v>
      </c>
      <c r="AG17" s="35" t="s">
        <v>1650</v>
      </c>
      <c r="AH17" s="35" t="s">
        <v>1651</v>
      </c>
    </row>
    <row r="18" spans="1:34" x14ac:dyDescent="0.2">
      <c r="A18" s="34" t="s">
        <v>956</v>
      </c>
      <c r="B18" s="35" t="s">
        <v>1626</v>
      </c>
      <c r="C18" s="35" t="s">
        <v>1503</v>
      </c>
      <c r="F18" s="35" t="s">
        <v>1539</v>
      </c>
      <c r="H18" s="35" t="s">
        <v>1710</v>
      </c>
      <c r="J18" s="35" t="s">
        <v>1711</v>
      </c>
      <c r="L18" s="35" t="s">
        <v>1511</v>
      </c>
      <c r="O18" s="35" t="s">
        <v>1522</v>
      </c>
      <c r="Q18" s="35" t="s">
        <v>976</v>
      </c>
      <c r="V18" s="35" t="s">
        <v>976</v>
      </c>
      <c r="AB18" s="35" t="s">
        <v>976</v>
      </c>
      <c r="AE18" s="35" t="s">
        <v>976</v>
      </c>
    </row>
    <row r="19" spans="1:34" ht="89.25" x14ac:dyDescent="0.2">
      <c r="A19" s="34" t="s">
        <v>934</v>
      </c>
      <c r="B19" s="35" t="s">
        <v>1495</v>
      </c>
      <c r="C19" s="35" t="s">
        <v>1538</v>
      </c>
      <c r="D19" s="35" t="s">
        <v>3885</v>
      </c>
      <c r="F19" s="35" t="s">
        <v>3592</v>
      </c>
      <c r="H19" s="35" t="s">
        <v>1616</v>
      </c>
      <c r="J19" s="35" t="s">
        <v>3609</v>
      </c>
      <c r="L19" s="35" t="s">
        <v>3630</v>
      </c>
      <c r="O19" s="35" t="s">
        <v>1513</v>
      </c>
      <c r="Q19" s="35" t="s">
        <v>1023</v>
      </c>
      <c r="V19" s="35" t="s">
        <v>972</v>
      </c>
      <c r="W19" s="35" t="s">
        <v>1617</v>
      </c>
      <c r="Y19" s="35" t="s">
        <v>1501</v>
      </c>
      <c r="AB19" s="35" t="s">
        <v>972</v>
      </c>
      <c r="AC19" s="35" t="s">
        <v>3647</v>
      </c>
      <c r="AE19" s="35" t="s">
        <v>1023</v>
      </c>
      <c r="AH19" s="35" t="s">
        <v>1618</v>
      </c>
    </row>
    <row r="20" spans="1:34" ht="51" x14ac:dyDescent="0.2">
      <c r="A20" s="34" t="s">
        <v>961</v>
      </c>
      <c r="B20" s="35" t="s">
        <v>1507</v>
      </c>
      <c r="C20" s="35" t="s">
        <v>1503</v>
      </c>
      <c r="D20" s="35" t="s">
        <v>3662</v>
      </c>
      <c r="F20" s="35" t="s">
        <v>1539</v>
      </c>
      <c r="H20" s="35" t="s">
        <v>1594</v>
      </c>
      <c r="J20" s="35" t="s">
        <v>1719</v>
      </c>
      <c r="L20" s="35" t="s">
        <v>1662</v>
      </c>
      <c r="M20" s="35" t="s">
        <v>1720</v>
      </c>
      <c r="N20" s="35" t="s">
        <v>1721</v>
      </c>
      <c r="O20" s="35" t="s">
        <v>1600</v>
      </c>
      <c r="Q20" s="35" t="s">
        <v>976</v>
      </c>
      <c r="V20" s="35" t="s">
        <v>976</v>
      </c>
      <c r="AB20" s="35" t="s">
        <v>976</v>
      </c>
      <c r="AE20" s="35" t="s">
        <v>976</v>
      </c>
      <c r="AH20" s="35" t="s">
        <v>1722</v>
      </c>
    </row>
    <row r="21" spans="1:34" ht="38.25" x14ac:dyDescent="0.2">
      <c r="A21" s="34" t="s">
        <v>939</v>
      </c>
      <c r="B21" s="35" t="s">
        <v>1507</v>
      </c>
      <c r="C21" s="35" t="s">
        <v>1503</v>
      </c>
      <c r="D21" s="35" t="s">
        <v>1641</v>
      </c>
      <c r="F21" s="35" t="s">
        <v>3592</v>
      </c>
      <c r="J21" s="35" t="s">
        <v>1642</v>
      </c>
      <c r="L21" s="35" t="s">
        <v>1643</v>
      </c>
      <c r="N21" s="35" t="s">
        <v>1644</v>
      </c>
      <c r="O21" s="35" t="s">
        <v>1580</v>
      </c>
      <c r="Q21" s="35" t="s">
        <v>976</v>
      </c>
      <c r="V21" s="35" t="s">
        <v>1023</v>
      </c>
      <c r="AB21" s="35" t="s">
        <v>976</v>
      </c>
      <c r="AE21" s="35" t="s">
        <v>976</v>
      </c>
      <c r="AH21" s="35" t="s">
        <v>1645</v>
      </c>
    </row>
    <row r="22" spans="1:34" ht="63.75" x14ac:dyDescent="0.2">
      <c r="A22" s="34" t="s">
        <v>938</v>
      </c>
      <c r="B22" s="35" t="s">
        <v>1626</v>
      </c>
      <c r="C22" s="35" t="s">
        <v>1503</v>
      </c>
      <c r="D22" s="35" t="s">
        <v>3663</v>
      </c>
      <c r="F22" s="35" t="s">
        <v>1508</v>
      </c>
      <c r="H22" s="35" t="s">
        <v>1634</v>
      </c>
      <c r="J22" s="35" t="s">
        <v>3604</v>
      </c>
      <c r="L22" s="35" t="s">
        <v>1498</v>
      </c>
      <c r="N22" s="35" t="s">
        <v>1635</v>
      </c>
      <c r="O22" s="35" t="s">
        <v>1513</v>
      </c>
      <c r="Q22" s="35" t="s">
        <v>976</v>
      </c>
      <c r="V22" s="35" t="s">
        <v>972</v>
      </c>
      <c r="W22" s="35" t="s">
        <v>1636</v>
      </c>
      <c r="Y22" s="35" t="s">
        <v>1637</v>
      </c>
      <c r="AA22" s="35" t="s">
        <v>1638</v>
      </c>
      <c r="AB22" s="35" t="s">
        <v>972</v>
      </c>
      <c r="AC22" s="35" t="s">
        <v>1639</v>
      </c>
      <c r="AE22" s="35" t="s">
        <v>1023</v>
      </c>
      <c r="AH22" s="35" t="s">
        <v>1640</v>
      </c>
    </row>
    <row r="23" spans="1:34" ht="76.5" x14ac:dyDescent="0.2">
      <c r="A23" s="34" t="s">
        <v>947</v>
      </c>
      <c r="B23" s="35" t="s">
        <v>1495</v>
      </c>
      <c r="C23" s="35" t="s">
        <v>1503</v>
      </c>
      <c r="D23" s="35" t="s">
        <v>3654</v>
      </c>
      <c r="F23" s="35" t="s">
        <v>1677</v>
      </c>
      <c r="G23" s="35" t="s">
        <v>1678</v>
      </c>
      <c r="H23" s="35" t="s">
        <v>1531</v>
      </c>
      <c r="J23" s="35" t="s">
        <v>3605</v>
      </c>
      <c r="L23" s="35" t="s">
        <v>1574</v>
      </c>
      <c r="M23" s="35" t="s">
        <v>1679</v>
      </c>
      <c r="N23" s="35" t="s">
        <v>3634</v>
      </c>
      <c r="O23" s="35" t="s">
        <v>1522</v>
      </c>
      <c r="Q23" s="35" t="s">
        <v>976</v>
      </c>
      <c r="V23" s="35" t="s">
        <v>1023</v>
      </c>
      <c r="AB23" s="35" t="s">
        <v>972</v>
      </c>
      <c r="AC23" s="35" t="s">
        <v>1680</v>
      </c>
      <c r="AE23" s="35" t="s">
        <v>1023</v>
      </c>
      <c r="AH23" s="35" t="s">
        <v>1681</v>
      </c>
    </row>
    <row r="24" spans="1:34" ht="63.75" x14ac:dyDescent="0.2">
      <c r="A24" s="34" t="s">
        <v>937</v>
      </c>
      <c r="B24" s="35" t="s">
        <v>1495</v>
      </c>
      <c r="C24" s="35" t="s">
        <v>1503</v>
      </c>
      <c r="D24" s="35" t="s">
        <v>3584</v>
      </c>
      <c r="F24" s="35" t="s">
        <v>3588</v>
      </c>
      <c r="H24" s="35" t="s">
        <v>1531</v>
      </c>
      <c r="J24" s="35" t="s">
        <v>1628</v>
      </c>
      <c r="L24" s="35" t="s">
        <v>1498</v>
      </c>
      <c r="N24" s="35" t="s">
        <v>3636</v>
      </c>
      <c r="O24" s="35" t="s">
        <v>1513</v>
      </c>
      <c r="Q24" s="35" t="s">
        <v>972</v>
      </c>
      <c r="R24" s="35" t="s">
        <v>1629</v>
      </c>
      <c r="T24" s="35" t="s">
        <v>1630</v>
      </c>
      <c r="V24" s="35" t="s">
        <v>972</v>
      </c>
      <c r="W24" s="35" t="s">
        <v>3645</v>
      </c>
      <c r="Y24" s="35" t="s">
        <v>1631</v>
      </c>
      <c r="AB24" s="35" t="s">
        <v>972</v>
      </c>
      <c r="AC24" s="35" t="s">
        <v>1632</v>
      </c>
      <c r="AE24" s="35" t="s">
        <v>1023</v>
      </c>
      <c r="AH24" s="35" t="s">
        <v>1633</v>
      </c>
    </row>
    <row r="25" spans="1:34" ht="76.5" x14ac:dyDescent="0.2">
      <c r="A25" s="34" t="s">
        <v>949</v>
      </c>
      <c r="B25" s="35" t="s">
        <v>1507</v>
      </c>
      <c r="C25" s="35" t="s">
        <v>1503</v>
      </c>
      <c r="D25" s="35" t="s">
        <v>3655</v>
      </c>
      <c r="F25" s="35" t="s">
        <v>3586</v>
      </c>
      <c r="H25" s="35" t="s">
        <v>1531</v>
      </c>
      <c r="J25" s="35" t="s">
        <v>3610</v>
      </c>
      <c r="L25" s="35" t="s">
        <v>1686</v>
      </c>
      <c r="O25" s="35" t="s">
        <v>1600</v>
      </c>
      <c r="Q25" s="35" t="s">
        <v>976</v>
      </c>
      <c r="V25" s="35" t="s">
        <v>972</v>
      </c>
      <c r="W25" s="35" t="s">
        <v>3642</v>
      </c>
      <c r="Y25" s="35" t="s">
        <v>1687</v>
      </c>
      <c r="AB25" s="35" t="s">
        <v>972</v>
      </c>
      <c r="AC25" s="35" t="s">
        <v>1688</v>
      </c>
      <c r="AE25" s="35" t="s">
        <v>972</v>
      </c>
      <c r="AF25" s="35" t="s">
        <v>1689</v>
      </c>
      <c r="AG25" s="35" t="s">
        <v>1690</v>
      </c>
      <c r="AH25" s="35" t="s">
        <v>1691</v>
      </c>
    </row>
    <row r="26" spans="1:34" ht="63.75" x14ac:dyDescent="0.2">
      <c r="A26" s="34" t="s">
        <v>963</v>
      </c>
      <c r="B26" s="35" t="s">
        <v>1507</v>
      </c>
      <c r="C26" s="35" t="s">
        <v>1503</v>
      </c>
      <c r="D26" s="35" t="s">
        <v>3664</v>
      </c>
      <c r="E26" s="35" t="s">
        <v>1725</v>
      </c>
      <c r="F26" s="35" t="s">
        <v>3587</v>
      </c>
      <c r="H26" s="35" t="s">
        <v>1531</v>
      </c>
      <c r="J26" s="35" t="s">
        <v>1598</v>
      </c>
      <c r="L26" s="35" t="s">
        <v>1574</v>
      </c>
      <c r="M26" s="35" t="s">
        <v>1726</v>
      </c>
      <c r="O26" s="35" t="s">
        <v>1513</v>
      </c>
      <c r="Q26" s="35" t="s">
        <v>976</v>
      </c>
      <c r="V26" s="35" t="s">
        <v>972</v>
      </c>
      <c r="W26" s="35" t="s">
        <v>1570</v>
      </c>
      <c r="Y26" s="35" t="s">
        <v>1551</v>
      </c>
      <c r="Z26" s="35" t="s">
        <v>1727</v>
      </c>
      <c r="AB26" s="35" t="s">
        <v>976</v>
      </c>
      <c r="AE26" s="35" t="s">
        <v>976</v>
      </c>
    </row>
    <row r="27" spans="1:34" ht="76.5" x14ac:dyDescent="0.2">
      <c r="A27" s="34" t="s">
        <v>913</v>
      </c>
      <c r="B27" s="35" t="s">
        <v>1507</v>
      </c>
      <c r="C27" s="35" t="s">
        <v>1503</v>
      </c>
      <c r="D27" s="35" t="s">
        <v>3654</v>
      </c>
      <c r="F27" s="35" t="s">
        <v>1508</v>
      </c>
      <c r="H27" s="35" t="s">
        <v>1509</v>
      </c>
      <c r="J27" s="35" t="s">
        <v>1510</v>
      </c>
      <c r="L27" s="35" t="s">
        <v>1511</v>
      </c>
      <c r="N27" s="35" t="s">
        <v>1512</v>
      </c>
      <c r="O27" s="35" t="s">
        <v>1513</v>
      </c>
      <c r="Q27" s="35" t="s">
        <v>976</v>
      </c>
      <c r="V27" s="35" t="s">
        <v>972</v>
      </c>
      <c r="W27" s="35" t="s">
        <v>3644</v>
      </c>
      <c r="X27" s="35" t="s">
        <v>1514</v>
      </c>
      <c r="Y27" s="35" t="s">
        <v>1515</v>
      </c>
      <c r="AB27" s="35" t="s">
        <v>972</v>
      </c>
      <c r="AC27" s="35" t="s">
        <v>1516</v>
      </c>
      <c r="AE27" s="35" t="s">
        <v>1023</v>
      </c>
      <c r="AH27" s="35" t="s">
        <v>1517</v>
      </c>
    </row>
    <row r="28" spans="1:34" ht="51" x14ac:dyDescent="0.2">
      <c r="A28" s="34" t="s">
        <v>931</v>
      </c>
      <c r="B28" s="35" t="s">
        <v>1507</v>
      </c>
      <c r="C28" s="35" t="s">
        <v>1503</v>
      </c>
      <c r="D28" s="35" t="s">
        <v>1604</v>
      </c>
      <c r="F28" s="35" t="s">
        <v>1561</v>
      </c>
      <c r="H28" s="35" t="s">
        <v>3603</v>
      </c>
      <c r="J28" s="35" t="s">
        <v>1605</v>
      </c>
      <c r="L28" s="35" t="s">
        <v>1511</v>
      </c>
      <c r="O28" s="35" t="s">
        <v>1522</v>
      </c>
      <c r="Q28" s="35" t="s">
        <v>976</v>
      </c>
      <c r="V28" s="35" t="s">
        <v>976</v>
      </c>
      <c r="AB28" s="35" t="s">
        <v>976</v>
      </c>
      <c r="AE28" s="35" t="s">
        <v>976</v>
      </c>
    </row>
    <row r="29" spans="1:34" ht="25.5" x14ac:dyDescent="0.2">
      <c r="A29" s="34" t="s">
        <v>966</v>
      </c>
      <c r="B29" s="35" t="s">
        <v>1626</v>
      </c>
      <c r="C29" s="35" t="s">
        <v>1496</v>
      </c>
      <c r="D29" s="35" t="s">
        <v>3665</v>
      </c>
      <c r="F29" s="35" t="s">
        <v>3602</v>
      </c>
      <c r="H29" s="35" t="s">
        <v>1741</v>
      </c>
      <c r="J29" s="35" t="s">
        <v>3628</v>
      </c>
      <c r="L29" s="35" t="s">
        <v>1511</v>
      </c>
      <c r="O29" s="35" t="s">
        <v>1580</v>
      </c>
      <c r="Q29" s="35" t="s">
        <v>976</v>
      </c>
      <c r="V29" s="35" t="s">
        <v>976</v>
      </c>
      <c r="AB29" s="35" t="s">
        <v>976</v>
      </c>
      <c r="AE29" s="35" t="s">
        <v>976</v>
      </c>
    </row>
    <row r="30" spans="1:34" ht="63.75" x14ac:dyDescent="0.2">
      <c r="A30" s="34" t="s">
        <v>917</v>
      </c>
      <c r="B30" s="35" t="s">
        <v>1507</v>
      </c>
      <c r="C30" s="35" t="s">
        <v>1503</v>
      </c>
      <c r="D30" s="35" t="s">
        <v>1530</v>
      </c>
      <c r="F30" s="35" t="s">
        <v>3594</v>
      </c>
      <c r="H30" s="35" t="s">
        <v>1531</v>
      </c>
      <c r="J30" s="35" t="s">
        <v>1532</v>
      </c>
      <c r="L30" s="35" t="s">
        <v>1533</v>
      </c>
      <c r="O30" s="35" t="s">
        <v>1534</v>
      </c>
      <c r="Q30" s="35" t="s">
        <v>976</v>
      </c>
      <c r="V30" s="35" t="s">
        <v>972</v>
      </c>
      <c r="W30" s="35" t="s">
        <v>1535</v>
      </c>
      <c r="Y30" s="35" t="s">
        <v>1536</v>
      </c>
      <c r="AB30" s="35" t="s">
        <v>976</v>
      </c>
      <c r="AE30" s="35" t="s">
        <v>976</v>
      </c>
      <c r="AH30" s="35" t="s">
        <v>1537</v>
      </c>
    </row>
    <row r="31" spans="1:34" ht="63.75" x14ac:dyDescent="0.2">
      <c r="A31" s="34" t="s">
        <v>923</v>
      </c>
      <c r="B31" s="35" t="s">
        <v>1495</v>
      </c>
      <c r="C31" s="35" t="s">
        <v>1538</v>
      </c>
      <c r="D31" s="35" t="s">
        <v>3585</v>
      </c>
      <c r="F31" s="35" t="s">
        <v>3587</v>
      </c>
      <c r="H31" s="35" t="s">
        <v>1497</v>
      </c>
      <c r="J31" s="35" t="s">
        <v>3623</v>
      </c>
      <c r="L31" s="35" t="s">
        <v>3633</v>
      </c>
      <c r="O31" s="35" t="s">
        <v>1513</v>
      </c>
      <c r="Q31" s="35" t="s">
        <v>976</v>
      </c>
      <c r="V31" s="35" t="s">
        <v>972</v>
      </c>
      <c r="W31" s="35" t="s">
        <v>1570</v>
      </c>
      <c r="Y31" s="35" t="s">
        <v>1501</v>
      </c>
      <c r="AE31" s="35" t="s">
        <v>972</v>
      </c>
      <c r="AF31" s="35" t="s">
        <v>1571</v>
      </c>
      <c r="AG31" s="35" t="s">
        <v>1572</v>
      </c>
    </row>
    <row r="32" spans="1:34" ht="63.75" x14ac:dyDescent="0.2">
      <c r="A32" s="34" t="s">
        <v>935</v>
      </c>
      <c r="B32" s="35" t="s">
        <v>1495</v>
      </c>
      <c r="C32" s="35" t="s">
        <v>1496</v>
      </c>
      <c r="D32" s="35" t="s">
        <v>3666</v>
      </c>
      <c r="F32" s="35" t="s">
        <v>1619</v>
      </c>
      <c r="H32" s="35" t="s">
        <v>1620</v>
      </c>
      <c r="J32" s="35" t="s">
        <v>1602</v>
      </c>
      <c r="L32" s="35" t="s">
        <v>1511</v>
      </c>
      <c r="N32" s="35" t="s">
        <v>1621</v>
      </c>
      <c r="Q32" s="35" t="s">
        <v>976</v>
      </c>
      <c r="V32" s="35" t="s">
        <v>972</v>
      </c>
      <c r="W32" s="35" t="s">
        <v>1622</v>
      </c>
      <c r="X32" s="35" t="s">
        <v>1623</v>
      </c>
      <c r="Y32" s="35" t="s">
        <v>1624</v>
      </c>
      <c r="AA32" s="35" t="s">
        <v>1625</v>
      </c>
      <c r="AB32" s="35" t="s">
        <v>976</v>
      </c>
      <c r="AE32" s="35" t="s">
        <v>1023</v>
      </c>
    </row>
    <row r="33" spans="1:34" ht="63.75" x14ac:dyDescent="0.2">
      <c r="A33" s="34" t="s">
        <v>915</v>
      </c>
      <c r="B33" s="35" t="s">
        <v>1495</v>
      </c>
      <c r="C33" s="35" t="s">
        <v>1503</v>
      </c>
      <c r="D33" s="35" t="s">
        <v>3667</v>
      </c>
      <c r="F33" s="35" t="s">
        <v>1523</v>
      </c>
      <c r="H33" s="35" t="s">
        <v>1524</v>
      </c>
      <c r="J33" s="35" t="s">
        <v>1525</v>
      </c>
      <c r="L33" s="35" t="s">
        <v>1511</v>
      </c>
      <c r="O33" s="35" t="s">
        <v>1522</v>
      </c>
      <c r="Q33" s="35" t="s">
        <v>976</v>
      </c>
      <c r="V33" s="35" t="s">
        <v>976</v>
      </c>
      <c r="AB33" s="35" t="s">
        <v>976</v>
      </c>
      <c r="AE33" s="35" t="s">
        <v>976</v>
      </c>
      <c r="AH33" s="35" t="s">
        <v>1526</v>
      </c>
    </row>
    <row r="34" spans="1:34" ht="89.25" x14ac:dyDescent="0.2">
      <c r="A34" s="34" t="s">
        <v>945</v>
      </c>
      <c r="B34" s="35" t="s">
        <v>1507</v>
      </c>
      <c r="C34" s="35" t="s">
        <v>1538</v>
      </c>
      <c r="D34" s="35" t="s">
        <v>3658</v>
      </c>
      <c r="F34" s="35" t="s">
        <v>3597</v>
      </c>
      <c r="H34" s="35" t="s">
        <v>1497</v>
      </c>
      <c r="J34" s="35" t="s">
        <v>3629</v>
      </c>
      <c r="L34" s="35" t="s">
        <v>1595</v>
      </c>
      <c r="N34" s="35" t="s">
        <v>1669</v>
      </c>
      <c r="O34" s="35" t="s">
        <v>1522</v>
      </c>
      <c r="Q34" s="35" t="s">
        <v>976</v>
      </c>
      <c r="V34" s="35" t="s">
        <v>972</v>
      </c>
      <c r="W34" s="35" t="s">
        <v>3646</v>
      </c>
      <c r="Y34" s="35" t="s">
        <v>1501</v>
      </c>
      <c r="AA34" s="35" t="s">
        <v>1670</v>
      </c>
      <c r="AB34" s="35" t="s">
        <v>972</v>
      </c>
      <c r="AC34" s="35" t="s">
        <v>3650</v>
      </c>
      <c r="AE34" s="35" t="s">
        <v>972</v>
      </c>
      <c r="AF34" s="35" t="s">
        <v>1671</v>
      </c>
      <c r="AG34" s="35" t="s">
        <v>1672</v>
      </c>
      <c r="AH34" s="35" t="s">
        <v>1673</v>
      </c>
    </row>
    <row r="35" spans="1:34" ht="63.75" x14ac:dyDescent="0.2">
      <c r="A35" s="34" t="s">
        <v>924</v>
      </c>
      <c r="B35" s="35" t="s">
        <v>1495</v>
      </c>
      <c r="C35" s="35" t="s">
        <v>1503</v>
      </c>
      <c r="D35" s="35" t="s">
        <v>3668</v>
      </c>
      <c r="F35" s="35" t="s">
        <v>3587</v>
      </c>
      <c r="H35" s="35" t="s">
        <v>1524</v>
      </c>
      <c r="J35" s="35" t="s">
        <v>1573</v>
      </c>
      <c r="L35" s="35" t="s">
        <v>1574</v>
      </c>
      <c r="M35" s="35" t="s">
        <v>1575</v>
      </c>
      <c r="N35" s="35" t="s">
        <v>1576</v>
      </c>
      <c r="O35" s="35" t="s">
        <v>1513</v>
      </c>
      <c r="Q35" s="35" t="s">
        <v>976</v>
      </c>
      <c r="V35" s="35" t="s">
        <v>976</v>
      </c>
      <c r="AB35" s="35" t="s">
        <v>976</v>
      </c>
      <c r="AE35" s="35" t="s">
        <v>976</v>
      </c>
    </row>
    <row r="36" spans="1:34" ht="89.25" x14ac:dyDescent="0.2">
      <c r="A36" s="34" t="s">
        <v>925</v>
      </c>
      <c r="B36" s="35" t="s">
        <v>1507</v>
      </c>
      <c r="C36" s="35" t="s">
        <v>1538</v>
      </c>
      <c r="D36" s="35" t="s">
        <v>3658</v>
      </c>
      <c r="F36" s="35" t="s">
        <v>3600</v>
      </c>
      <c r="H36" s="35" t="s">
        <v>1497</v>
      </c>
      <c r="J36" s="35" t="s">
        <v>3624</v>
      </c>
      <c r="L36" s="35" t="s">
        <v>1577</v>
      </c>
      <c r="M36" s="35" t="s">
        <v>1578</v>
      </c>
      <c r="N36" s="35" t="s">
        <v>1579</v>
      </c>
      <c r="O36" s="35" t="s">
        <v>1580</v>
      </c>
      <c r="Q36" s="35" t="s">
        <v>972</v>
      </c>
      <c r="R36" s="35" t="s">
        <v>1581</v>
      </c>
      <c r="T36" s="35" t="s">
        <v>1582</v>
      </c>
      <c r="V36" s="35" t="s">
        <v>972</v>
      </c>
      <c r="W36" s="35" t="s">
        <v>1583</v>
      </c>
      <c r="X36" s="35" t="s">
        <v>1584</v>
      </c>
      <c r="Y36" s="35" t="s">
        <v>1536</v>
      </c>
      <c r="AB36" s="35" t="s">
        <v>972</v>
      </c>
      <c r="AC36" s="35" t="s">
        <v>1585</v>
      </c>
      <c r="AE36" s="35" t="s">
        <v>1023</v>
      </c>
      <c r="AH36" s="35" t="s">
        <v>1586</v>
      </c>
    </row>
    <row r="37" spans="1:34" ht="89.25" x14ac:dyDescent="0.2">
      <c r="A37" s="34" t="s">
        <v>3376</v>
      </c>
      <c r="B37" s="35" t="s">
        <v>1507</v>
      </c>
      <c r="C37" s="35" t="s">
        <v>1503</v>
      </c>
      <c r="D37" s="35" t="s">
        <v>3658</v>
      </c>
      <c r="F37" s="35" t="s">
        <v>3589</v>
      </c>
      <c r="H37" s="35" t="s">
        <v>1531</v>
      </c>
      <c r="J37" s="35" t="s">
        <v>3608</v>
      </c>
      <c r="L37" s="35" t="s">
        <v>1702</v>
      </c>
      <c r="N37" s="35" t="s">
        <v>3385</v>
      </c>
      <c r="O37" s="35" t="s">
        <v>3637</v>
      </c>
      <c r="Q37" s="35" t="s">
        <v>972</v>
      </c>
      <c r="R37" s="35" t="s">
        <v>3386</v>
      </c>
      <c r="T37" s="35" t="s">
        <v>3638</v>
      </c>
      <c r="V37" s="35" t="s">
        <v>972</v>
      </c>
      <c r="W37" s="35" t="s">
        <v>3886</v>
      </c>
      <c r="Y37" s="35" t="s">
        <v>1501</v>
      </c>
      <c r="AB37" s="35" t="s">
        <v>976</v>
      </c>
      <c r="AE37" s="35" t="s">
        <v>976</v>
      </c>
      <c r="AH37" s="35" t="s">
        <v>3387</v>
      </c>
    </row>
    <row r="38" spans="1:34" ht="38.25" x14ac:dyDescent="0.2">
      <c r="A38" s="34" t="s">
        <v>952</v>
      </c>
      <c r="B38" s="35" t="s">
        <v>1507</v>
      </c>
      <c r="C38" s="35" t="s">
        <v>1496</v>
      </c>
      <c r="D38" s="35" t="s">
        <v>1697</v>
      </c>
      <c r="F38" s="35" t="s">
        <v>1561</v>
      </c>
      <c r="H38" s="35" t="s">
        <v>1524</v>
      </c>
      <c r="J38" s="35" t="s">
        <v>1698</v>
      </c>
      <c r="L38" s="35" t="s">
        <v>1511</v>
      </c>
      <c r="N38" s="35" t="s">
        <v>1699</v>
      </c>
      <c r="O38" s="35" t="s">
        <v>1522</v>
      </c>
      <c r="Q38" s="35" t="s">
        <v>976</v>
      </c>
      <c r="V38" s="35" t="s">
        <v>976</v>
      </c>
      <c r="AB38" s="35" t="s">
        <v>976</v>
      </c>
      <c r="AE38" s="35" t="s">
        <v>976</v>
      </c>
      <c r="AH38" s="35" t="s">
        <v>1700</v>
      </c>
    </row>
    <row r="39" spans="1:34" ht="38.25" x14ac:dyDescent="0.2">
      <c r="A39" s="34" t="s">
        <v>921</v>
      </c>
      <c r="B39" s="35" t="s">
        <v>1507</v>
      </c>
      <c r="D39" s="35" t="s">
        <v>1560</v>
      </c>
      <c r="F39" s="35" t="s">
        <v>1561</v>
      </c>
      <c r="H39" s="35" t="s">
        <v>1562</v>
      </c>
      <c r="J39" s="35" t="s">
        <v>3614</v>
      </c>
      <c r="L39" s="35" t="s">
        <v>1511</v>
      </c>
      <c r="Q39" s="35" t="s">
        <v>976</v>
      </c>
      <c r="V39" s="35" t="s">
        <v>972</v>
      </c>
      <c r="W39" s="35" t="s">
        <v>1563</v>
      </c>
      <c r="Y39" s="35" t="s">
        <v>1501</v>
      </c>
      <c r="AB39" s="35" t="s">
        <v>976</v>
      </c>
    </row>
    <row r="40" spans="1:34" ht="63.75" x14ac:dyDescent="0.2">
      <c r="A40" s="34" t="s">
        <v>958</v>
      </c>
      <c r="C40" s="35" t="s">
        <v>1496</v>
      </c>
      <c r="D40" s="35" t="s">
        <v>1593</v>
      </c>
      <c r="F40" s="35" t="s">
        <v>3588</v>
      </c>
      <c r="H40" s="35" t="s">
        <v>1531</v>
      </c>
      <c r="J40" s="35" t="s">
        <v>1715</v>
      </c>
      <c r="L40" s="35" t="s">
        <v>1498</v>
      </c>
      <c r="O40" s="35" t="s">
        <v>1522</v>
      </c>
      <c r="Q40" s="35" t="s">
        <v>976</v>
      </c>
      <c r="V40" s="35" t="s">
        <v>972</v>
      </c>
      <c r="W40" s="35" t="s">
        <v>1716</v>
      </c>
      <c r="Y40" s="35" t="s">
        <v>1515</v>
      </c>
      <c r="AB40" s="35" t="s">
        <v>976</v>
      </c>
      <c r="AE40" s="35" t="s">
        <v>1023</v>
      </c>
    </row>
    <row r="41" spans="1:34" ht="76.5" x14ac:dyDescent="0.2">
      <c r="A41" s="34" t="s">
        <v>962</v>
      </c>
      <c r="B41" s="35" t="s">
        <v>1495</v>
      </c>
      <c r="C41" s="35" t="s">
        <v>1538</v>
      </c>
      <c r="D41" s="35" t="s">
        <v>3655</v>
      </c>
      <c r="F41" s="35" t="s">
        <v>3594</v>
      </c>
      <c r="H41" s="35" t="s">
        <v>1497</v>
      </c>
      <c r="J41" s="35" t="s">
        <v>1723</v>
      </c>
      <c r="L41" s="35" t="s">
        <v>1606</v>
      </c>
      <c r="O41" s="35" t="s">
        <v>1522</v>
      </c>
      <c r="Q41" s="35" t="s">
        <v>976</v>
      </c>
      <c r="V41" s="35" t="s">
        <v>972</v>
      </c>
      <c r="W41" s="35" t="s">
        <v>1724</v>
      </c>
      <c r="Y41" s="35" t="s">
        <v>1515</v>
      </c>
      <c r="AB41" s="35" t="s">
        <v>976</v>
      </c>
      <c r="AE41" s="35" t="s">
        <v>976</v>
      </c>
      <c r="AH41" s="35" t="s">
        <v>971</v>
      </c>
    </row>
    <row r="42" spans="1:34" ht="76.5" x14ac:dyDescent="0.2">
      <c r="A42" s="34" t="s">
        <v>957</v>
      </c>
      <c r="B42" s="35" t="s">
        <v>1495</v>
      </c>
      <c r="C42" s="35" t="s">
        <v>1503</v>
      </c>
      <c r="D42" s="35" t="s">
        <v>3669</v>
      </c>
      <c r="F42" s="35" t="s">
        <v>3595</v>
      </c>
      <c r="H42" s="35" t="s">
        <v>1524</v>
      </c>
      <c r="J42" s="35" t="s">
        <v>3613</v>
      </c>
      <c r="L42" s="35" t="s">
        <v>1712</v>
      </c>
      <c r="O42" s="35" t="s">
        <v>1513</v>
      </c>
      <c r="Q42" s="35" t="s">
        <v>976</v>
      </c>
      <c r="V42" s="35" t="s">
        <v>972</v>
      </c>
      <c r="W42" s="35" t="s">
        <v>1636</v>
      </c>
      <c r="Y42" s="35" t="s">
        <v>1713</v>
      </c>
      <c r="AB42" s="35" t="s">
        <v>972</v>
      </c>
      <c r="AC42" s="35" t="s">
        <v>1714</v>
      </c>
      <c r="AE42" s="35" t="s">
        <v>1023</v>
      </c>
    </row>
    <row r="43" spans="1:34" ht="63.75" x14ac:dyDescent="0.2">
      <c r="A43" s="34" t="s">
        <v>918</v>
      </c>
      <c r="B43" s="35" t="s">
        <v>1495</v>
      </c>
      <c r="C43" s="35" t="s">
        <v>1538</v>
      </c>
      <c r="D43" s="35" t="s">
        <v>3670</v>
      </c>
      <c r="F43" s="35" t="s">
        <v>1539</v>
      </c>
      <c r="H43" s="35" t="s">
        <v>1531</v>
      </c>
      <c r="J43" s="35" t="s">
        <v>1540</v>
      </c>
      <c r="L43" s="35" t="s">
        <v>1511</v>
      </c>
      <c r="N43" s="35" t="s">
        <v>1541</v>
      </c>
      <c r="O43" s="35" t="s">
        <v>1513</v>
      </c>
      <c r="Q43" s="35" t="s">
        <v>1023</v>
      </c>
      <c r="V43" s="35" t="s">
        <v>972</v>
      </c>
      <c r="W43" s="35" t="s">
        <v>990</v>
      </c>
      <c r="X43" s="35" t="s">
        <v>1542</v>
      </c>
      <c r="Y43" s="35" t="s">
        <v>1515</v>
      </c>
      <c r="AB43" s="35" t="s">
        <v>976</v>
      </c>
      <c r="AE43" s="35" t="s">
        <v>1023</v>
      </c>
      <c r="AH43" s="35" t="s">
        <v>1543</v>
      </c>
    </row>
    <row r="44" spans="1:34" ht="76.5" x14ac:dyDescent="0.2">
      <c r="A44" s="34" t="s">
        <v>965</v>
      </c>
      <c r="B44" s="35" t="s">
        <v>1495</v>
      </c>
      <c r="C44" s="35" t="s">
        <v>1503</v>
      </c>
      <c r="D44" s="35" t="s">
        <v>3671</v>
      </c>
      <c r="E44" s="35" t="s">
        <v>1737</v>
      </c>
      <c r="F44" s="35" t="s">
        <v>3597</v>
      </c>
      <c r="H44" s="35" t="s">
        <v>1531</v>
      </c>
      <c r="J44" s="35" t="s">
        <v>1738</v>
      </c>
      <c r="L44" s="35" t="s">
        <v>1498</v>
      </c>
      <c r="N44" s="35" t="s">
        <v>1739</v>
      </c>
      <c r="O44" s="35" t="s">
        <v>3637</v>
      </c>
      <c r="Q44" s="35" t="s">
        <v>976</v>
      </c>
      <c r="V44" s="35" t="s">
        <v>972</v>
      </c>
      <c r="AB44" s="35" t="s">
        <v>972</v>
      </c>
      <c r="AC44" s="35" t="s">
        <v>3651</v>
      </c>
      <c r="AE44" s="35" t="s">
        <v>1023</v>
      </c>
      <c r="AH44" s="35" t="s">
        <v>1740</v>
      </c>
    </row>
    <row r="45" spans="1:34" ht="89.25" x14ac:dyDescent="0.2">
      <c r="A45" s="34" t="s">
        <v>942</v>
      </c>
      <c r="B45" s="35" t="s">
        <v>1495</v>
      </c>
      <c r="C45" s="35" t="s">
        <v>1503</v>
      </c>
      <c r="D45" s="35" t="s">
        <v>3658</v>
      </c>
      <c r="F45" s="35" t="s">
        <v>3592</v>
      </c>
      <c r="H45" s="35" t="s">
        <v>1524</v>
      </c>
      <c r="J45" s="35" t="s">
        <v>1652</v>
      </c>
      <c r="L45" s="35" t="s">
        <v>3630</v>
      </c>
      <c r="O45" s="35" t="s">
        <v>1522</v>
      </c>
      <c r="Q45" s="35" t="s">
        <v>976</v>
      </c>
      <c r="V45" s="35" t="s">
        <v>976</v>
      </c>
      <c r="AB45" s="35" t="s">
        <v>972</v>
      </c>
      <c r="AC45" s="35" t="s">
        <v>990</v>
      </c>
      <c r="AD45" s="35" t="s">
        <v>1653</v>
      </c>
      <c r="AE45" s="35" t="s">
        <v>972</v>
      </c>
      <c r="AF45" s="35" t="s">
        <v>1654</v>
      </c>
      <c r="AG45" s="35" t="s">
        <v>1655</v>
      </c>
    </row>
    <row r="46" spans="1:34" ht="114.75" x14ac:dyDescent="0.2">
      <c r="A46" s="34" t="s">
        <v>955</v>
      </c>
      <c r="B46" s="35" t="s">
        <v>1495</v>
      </c>
      <c r="C46" s="35" t="s">
        <v>1496</v>
      </c>
      <c r="D46" s="35" t="s">
        <v>3672</v>
      </c>
      <c r="E46" s="35" t="s">
        <v>1704</v>
      </c>
      <c r="F46" s="35" t="s">
        <v>3601</v>
      </c>
      <c r="H46" s="35" t="s">
        <v>1531</v>
      </c>
      <c r="J46" s="35" t="s">
        <v>3627</v>
      </c>
      <c r="L46" s="35" t="s">
        <v>1675</v>
      </c>
      <c r="N46" s="35" t="s">
        <v>1705</v>
      </c>
      <c r="O46" s="35" t="s">
        <v>3637</v>
      </c>
      <c r="Q46" s="35" t="s">
        <v>972</v>
      </c>
      <c r="R46" s="35" t="s">
        <v>1706</v>
      </c>
      <c r="T46" s="35" t="s">
        <v>3641</v>
      </c>
      <c r="V46" s="35" t="s">
        <v>972</v>
      </c>
      <c r="W46" s="35" t="s">
        <v>1707</v>
      </c>
      <c r="Y46" s="35" t="s">
        <v>1667</v>
      </c>
      <c r="AA46" s="35" t="s">
        <v>1708</v>
      </c>
      <c r="AB46" s="35" t="s">
        <v>976</v>
      </c>
      <c r="AE46" s="35" t="s">
        <v>976</v>
      </c>
      <c r="AH46" s="35" t="s">
        <v>1709</v>
      </c>
    </row>
    <row r="47" spans="1:34" ht="63.75" x14ac:dyDescent="0.2">
      <c r="A47" s="34" t="s">
        <v>967</v>
      </c>
      <c r="B47" s="35" t="s">
        <v>1507</v>
      </c>
      <c r="C47" s="35" t="s">
        <v>1503</v>
      </c>
      <c r="D47" s="35" t="s">
        <v>3667</v>
      </c>
      <c r="F47" s="35" t="s">
        <v>3593</v>
      </c>
      <c r="H47" s="35" t="s">
        <v>1620</v>
      </c>
      <c r="J47" s="35" t="s">
        <v>3611</v>
      </c>
      <c r="L47" s="35" t="s">
        <v>1511</v>
      </c>
      <c r="N47" s="35" t="s">
        <v>1742</v>
      </c>
      <c r="O47" s="35" t="s">
        <v>1600</v>
      </c>
      <c r="Q47" s="35" t="s">
        <v>976</v>
      </c>
      <c r="V47" s="35" t="s">
        <v>976</v>
      </c>
      <c r="AB47" s="35" t="s">
        <v>976</v>
      </c>
      <c r="AE47" s="35" t="s">
        <v>976</v>
      </c>
      <c r="AH47" s="35" t="s">
        <v>1743</v>
      </c>
    </row>
    <row r="48" spans="1:34" ht="76.5" x14ac:dyDescent="0.2">
      <c r="A48" s="34" t="s">
        <v>964</v>
      </c>
      <c r="C48" s="35" t="s">
        <v>1538</v>
      </c>
      <c r="D48" s="35" t="s">
        <v>3669</v>
      </c>
      <c r="F48" s="35" t="s">
        <v>1728</v>
      </c>
      <c r="H48" s="35" t="s">
        <v>1729</v>
      </c>
      <c r="I48" s="35" t="s">
        <v>1730</v>
      </c>
      <c r="J48" s="35" t="s">
        <v>1731</v>
      </c>
      <c r="L48" s="35" t="s">
        <v>1574</v>
      </c>
      <c r="M48" s="35" t="s">
        <v>3632</v>
      </c>
      <c r="N48" s="35" t="s">
        <v>1732</v>
      </c>
      <c r="O48" s="35" t="s">
        <v>1733</v>
      </c>
      <c r="P48" s="35" t="s">
        <v>1734</v>
      </c>
      <c r="Q48" s="35" t="s">
        <v>976</v>
      </c>
      <c r="V48" s="35" t="s">
        <v>976</v>
      </c>
      <c r="AB48" s="35" t="s">
        <v>972</v>
      </c>
      <c r="AC48" s="35" t="s">
        <v>1613</v>
      </c>
      <c r="AD48" s="35" t="s">
        <v>1735</v>
      </c>
      <c r="AE48" s="35" t="s">
        <v>976</v>
      </c>
      <c r="AH48" s="35" t="s">
        <v>1736</v>
      </c>
    </row>
    <row r="49" spans="1:34" ht="38.25" x14ac:dyDescent="0.2">
      <c r="A49" s="34" t="s">
        <v>951</v>
      </c>
      <c r="B49" s="35" t="s">
        <v>1495</v>
      </c>
      <c r="D49" s="35" t="s">
        <v>3581</v>
      </c>
      <c r="F49" s="35" t="s">
        <v>1508</v>
      </c>
      <c r="H49" s="35" t="s">
        <v>3603</v>
      </c>
      <c r="J49" s="35" t="s">
        <v>1695</v>
      </c>
      <c r="K49" s="35" t="s">
        <v>1696</v>
      </c>
      <c r="L49" s="35" t="s">
        <v>1511</v>
      </c>
      <c r="O49" s="35" t="s">
        <v>1522</v>
      </c>
      <c r="Q49" s="35" t="s">
        <v>976</v>
      </c>
      <c r="V49" s="35" t="s">
        <v>976</v>
      </c>
      <c r="AB49" s="35" t="s">
        <v>976</v>
      </c>
      <c r="AE49" s="35" t="s">
        <v>976</v>
      </c>
    </row>
    <row r="50" spans="1:34" ht="63.75" x14ac:dyDescent="0.2">
      <c r="A50" s="34" t="s">
        <v>954</v>
      </c>
      <c r="B50" s="35" t="s">
        <v>1507</v>
      </c>
      <c r="C50" s="35" t="s">
        <v>1538</v>
      </c>
      <c r="D50" s="35" t="s">
        <v>3580</v>
      </c>
      <c r="F50" s="35" t="s">
        <v>1561</v>
      </c>
      <c r="H50" s="35" t="s">
        <v>1497</v>
      </c>
      <c r="J50" s="35" t="s">
        <v>3615</v>
      </c>
      <c r="L50" s="35" t="s">
        <v>1702</v>
      </c>
      <c r="O50" s="35" t="s">
        <v>1522</v>
      </c>
      <c r="Q50" s="35" t="s">
        <v>976</v>
      </c>
      <c r="V50" s="35" t="s">
        <v>972</v>
      </c>
      <c r="W50" s="35" t="s">
        <v>1703</v>
      </c>
      <c r="Y50" s="35" t="s">
        <v>1624</v>
      </c>
      <c r="AB50" s="35" t="s">
        <v>976</v>
      </c>
      <c r="AE50" s="35" t="s">
        <v>976</v>
      </c>
    </row>
    <row r="51" spans="1:34" ht="63.75" x14ac:dyDescent="0.2">
      <c r="A51" s="34" t="s">
        <v>944</v>
      </c>
      <c r="B51" s="35" t="s">
        <v>1507</v>
      </c>
      <c r="C51" s="35" t="s">
        <v>1503</v>
      </c>
      <c r="D51" s="35" t="s">
        <v>3657</v>
      </c>
      <c r="F51" s="35" t="s">
        <v>1561</v>
      </c>
      <c r="H51" s="35" t="s">
        <v>1661</v>
      </c>
      <c r="J51" s="35" t="s">
        <v>3617</v>
      </c>
      <c r="L51" s="35" t="s">
        <v>1662</v>
      </c>
      <c r="M51" s="35" t="s">
        <v>1663</v>
      </c>
      <c r="O51" s="35" t="s">
        <v>1580</v>
      </c>
      <c r="Q51" s="35" t="s">
        <v>972</v>
      </c>
      <c r="R51" s="35" t="s">
        <v>990</v>
      </c>
      <c r="S51" s="35" t="s">
        <v>3639</v>
      </c>
      <c r="T51" s="35" t="s">
        <v>1664</v>
      </c>
      <c r="V51" s="35" t="s">
        <v>972</v>
      </c>
      <c r="W51" s="35" t="s">
        <v>1665</v>
      </c>
      <c r="X51" s="35" t="s">
        <v>1666</v>
      </c>
      <c r="Y51" s="35" t="s">
        <v>1667</v>
      </c>
      <c r="AB51" s="35" t="s">
        <v>976</v>
      </c>
      <c r="AE51" s="35" t="s">
        <v>972</v>
      </c>
      <c r="AH51" s="35" t="s">
        <v>1668</v>
      </c>
    </row>
    <row r="52" spans="1:34" ht="76.5" x14ac:dyDescent="0.2">
      <c r="A52" s="34" t="s">
        <v>950</v>
      </c>
      <c r="B52" s="35" t="s">
        <v>1626</v>
      </c>
      <c r="C52" s="35" t="s">
        <v>1503</v>
      </c>
      <c r="D52" s="35" t="s">
        <v>3655</v>
      </c>
      <c r="F52" s="35" t="s">
        <v>3597</v>
      </c>
      <c r="H52" s="35" t="s">
        <v>1531</v>
      </c>
      <c r="J52" s="35" t="s">
        <v>3625</v>
      </c>
      <c r="K52" s="35" t="s">
        <v>1692</v>
      </c>
      <c r="L52" s="35" t="s">
        <v>1511</v>
      </c>
      <c r="O52" s="35" t="s">
        <v>1513</v>
      </c>
      <c r="Q52" s="35" t="s">
        <v>976</v>
      </c>
      <c r="V52" s="35" t="s">
        <v>972</v>
      </c>
      <c r="W52" s="35" t="s">
        <v>1622</v>
      </c>
      <c r="X52" s="35" t="s">
        <v>1693</v>
      </c>
      <c r="Y52" s="35" t="s">
        <v>1667</v>
      </c>
      <c r="AB52" s="35" t="s">
        <v>1023</v>
      </c>
      <c r="AE52" s="35" t="s">
        <v>976</v>
      </c>
      <c r="AH52" s="35" t="s">
        <v>1694</v>
      </c>
    </row>
    <row r="53" spans="1:34" ht="76.5" x14ac:dyDescent="0.2">
      <c r="A53" s="34" t="s">
        <v>940</v>
      </c>
      <c r="B53" s="35" t="s">
        <v>1507</v>
      </c>
      <c r="C53" s="35" t="s">
        <v>1496</v>
      </c>
      <c r="D53" s="35" t="s">
        <v>3583</v>
      </c>
      <c r="F53" s="35" t="s">
        <v>3594</v>
      </c>
      <c r="H53" s="35" t="s">
        <v>1497</v>
      </c>
      <c r="J53" s="35" t="s">
        <v>3616</v>
      </c>
      <c r="L53" s="35" t="s">
        <v>1498</v>
      </c>
      <c r="O53" s="35" t="s">
        <v>3637</v>
      </c>
      <c r="Q53" s="35" t="s">
        <v>972</v>
      </c>
      <c r="R53" s="35" t="s">
        <v>1646</v>
      </c>
      <c r="T53" s="35" t="s">
        <v>1582</v>
      </c>
      <c r="V53" s="35" t="s">
        <v>972</v>
      </c>
      <c r="W53" s="35" t="s">
        <v>3886</v>
      </c>
      <c r="Y53" s="35" t="s">
        <v>1515</v>
      </c>
      <c r="AB53" s="35" t="s">
        <v>972</v>
      </c>
      <c r="AC53" s="35" t="s">
        <v>3648</v>
      </c>
      <c r="AE53" s="35" t="s">
        <v>976</v>
      </c>
      <c r="AH53" s="35" t="s">
        <v>1647</v>
      </c>
    </row>
    <row r="54" spans="1:34" ht="76.5" x14ac:dyDescent="0.2">
      <c r="A54" s="34" t="s">
        <v>960</v>
      </c>
      <c r="B54" s="35" t="s">
        <v>1507</v>
      </c>
      <c r="C54" s="35" t="s">
        <v>1503</v>
      </c>
      <c r="D54" s="35" t="s">
        <v>3655</v>
      </c>
      <c r="F54" s="35" t="s">
        <v>3588</v>
      </c>
      <c r="H54" s="35" t="s">
        <v>1497</v>
      </c>
      <c r="J54" s="35" t="s">
        <v>3619</v>
      </c>
      <c r="L54" s="35" t="s">
        <v>3631</v>
      </c>
      <c r="O54" s="35" t="s">
        <v>1522</v>
      </c>
      <c r="Q54" s="35" t="s">
        <v>976</v>
      </c>
      <c r="V54" s="35" t="s">
        <v>976</v>
      </c>
      <c r="AB54" s="35" t="s">
        <v>976</v>
      </c>
      <c r="AE54" s="35" t="s">
        <v>976</v>
      </c>
    </row>
    <row r="55" spans="1:34" ht="76.5" x14ac:dyDescent="0.2">
      <c r="A55" s="34" t="s">
        <v>916</v>
      </c>
      <c r="B55" s="35" t="s">
        <v>1495</v>
      </c>
      <c r="D55" s="35" t="s">
        <v>3673</v>
      </c>
      <c r="J55" s="35" t="s">
        <v>1527</v>
      </c>
      <c r="L55" s="35" t="s">
        <v>1511</v>
      </c>
      <c r="Q55" s="35" t="s">
        <v>976</v>
      </c>
      <c r="V55" s="35" t="s">
        <v>972</v>
      </c>
      <c r="W55" s="35" t="s">
        <v>1528</v>
      </c>
      <c r="Y55" s="35" t="s">
        <v>1501</v>
      </c>
      <c r="AB55" s="35" t="s">
        <v>1023</v>
      </c>
      <c r="AE55" s="35" t="s">
        <v>976</v>
      </c>
      <c r="AH55" s="35" t="s">
        <v>1529</v>
      </c>
    </row>
    <row r="56" spans="1:34" ht="51" x14ac:dyDescent="0.2">
      <c r="A56" s="34" t="s">
        <v>946</v>
      </c>
      <c r="B56" s="35" t="s">
        <v>1495</v>
      </c>
      <c r="C56" s="35" t="s">
        <v>1538</v>
      </c>
      <c r="D56" s="35" t="s">
        <v>3662</v>
      </c>
      <c r="F56" s="35" t="s">
        <v>3596</v>
      </c>
      <c r="H56" s="35" t="s">
        <v>1509</v>
      </c>
      <c r="J56" s="35" t="s">
        <v>1674</v>
      </c>
      <c r="L56" s="35" t="s">
        <v>1675</v>
      </c>
      <c r="O56" s="35" t="s">
        <v>1522</v>
      </c>
      <c r="Q56" s="35" t="s">
        <v>976</v>
      </c>
      <c r="V56" s="35" t="s">
        <v>972</v>
      </c>
      <c r="W56" s="35" t="s">
        <v>1622</v>
      </c>
      <c r="X56" s="35" t="s">
        <v>1676</v>
      </c>
      <c r="Y56" s="35" t="s">
        <v>1501</v>
      </c>
      <c r="AB56" s="35" t="s">
        <v>976</v>
      </c>
      <c r="AE56" s="35" t="s">
        <v>976</v>
      </c>
    </row>
    <row r="57" spans="1:34" ht="89.25" x14ac:dyDescent="0.2">
      <c r="A57" s="34" t="s">
        <v>919</v>
      </c>
      <c r="B57" s="35" t="s">
        <v>1495</v>
      </c>
      <c r="C57" s="35" t="s">
        <v>1503</v>
      </c>
      <c r="D57" s="35" t="s">
        <v>3582</v>
      </c>
      <c r="E57" s="35" t="s">
        <v>1544</v>
      </c>
      <c r="F57" s="35" t="s">
        <v>990</v>
      </c>
      <c r="G57" s="35" t="s">
        <v>1545</v>
      </c>
      <c r="H57" s="35" t="s">
        <v>1546</v>
      </c>
      <c r="J57" s="35" t="s">
        <v>1547</v>
      </c>
      <c r="K57" s="35" t="s">
        <v>1548</v>
      </c>
      <c r="L57" s="35" t="s">
        <v>1498</v>
      </c>
      <c r="N57" s="35" t="s">
        <v>1549</v>
      </c>
      <c r="O57" s="35" t="s">
        <v>1522</v>
      </c>
      <c r="V57" s="35" t="s">
        <v>972</v>
      </c>
      <c r="W57" s="35" t="s">
        <v>3643</v>
      </c>
      <c r="X57" s="35" t="s">
        <v>1550</v>
      </c>
      <c r="Y57" s="35" t="s">
        <v>1551</v>
      </c>
      <c r="Z57" s="35" t="s">
        <v>1552</v>
      </c>
      <c r="AB57" s="35" t="s">
        <v>972</v>
      </c>
      <c r="AC57" s="35" t="s">
        <v>1553</v>
      </c>
      <c r="AD57" s="35" t="s">
        <v>1554</v>
      </c>
      <c r="AH57" s="35" t="s">
        <v>1555</v>
      </c>
    </row>
    <row r="58" spans="1:34" ht="63.75" x14ac:dyDescent="0.2">
      <c r="A58" s="34" t="s">
        <v>929</v>
      </c>
      <c r="B58" s="35" t="s">
        <v>1507</v>
      </c>
      <c r="C58" s="35" t="s">
        <v>1538</v>
      </c>
      <c r="D58" s="35" t="s">
        <v>3662</v>
      </c>
      <c r="F58" s="35" t="s">
        <v>3586</v>
      </c>
      <c r="H58" s="35" t="s">
        <v>1596</v>
      </c>
      <c r="J58" s="35" t="s">
        <v>3606</v>
      </c>
      <c r="L58" s="35" t="s">
        <v>1511</v>
      </c>
      <c r="N58" s="35" t="s">
        <v>1597</v>
      </c>
      <c r="O58" s="35" t="s">
        <v>1513</v>
      </c>
      <c r="Q58" s="35" t="s">
        <v>976</v>
      </c>
      <c r="V58" s="35" t="s">
        <v>976</v>
      </c>
      <c r="AB58" s="35" t="s">
        <v>976</v>
      </c>
      <c r="AE58" s="35" t="s">
        <v>976</v>
      </c>
    </row>
    <row r="59" spans="1:34" ht="63.75" x14ac:dyDescent="0.2">
      <c r="A59" s="34" t="s">
        <v>943</v>
      </c>
      <c r="B59" s="35" t="s">
        <v>1507</v>
      </c>
      <c r="C59" s="35" t="s">
        <v>1503</v>
      </c>
      <c r="D59" s="35" t="s">
        <v>3667</v>
      </c>
      <c r="F59" s="35" t="s">
        <v>3598</v>
      </c>
      <c r="H59" s="35" t="s">
        <v>1656</v>
      </c>
      <c r="J59" s="35" t="s">
        <v>3620</v>
      </c>
      <c r="L59" s="35" t="s">
        <v>1606</v>
      </c>
      <c r="O59" s="35" t="s">
        <v>1513</v>
      </c>
      <c r="Q59" s="35" t="s">
        <v>976</v>
      </c>
      <c r="V59" s="35" t="s">
        <v>976</v>
      </c>
      <c r="AB59" s="35" t="s">
        <v>972</v>
      </c>
      <c r="AC59" s="35" t="s">
        <v>990</v>
      </c>
      <c r="AD59" s="35" t="s">
        <v>1657</v>
      </c>
      <c r="AE59" s="35" t="s">
        <v>972</v>
      </c>
      <c r="AF59" s="35" t="s">
        <v>1658</v>
      </c>
      <c r="AG59" s="35" t="s">
        <v>1659</v>
      </c>
      <c r="AH59" s="35" t="s">
        <v>1660</v>
      </c>
    </row>
    <row r="60" spans="1:34" ht="63.75" x14ac:dyDescent="0.2">
      <c r="A60" s="34" t="s">
        <v>953</v>
      </c>
      <c r="B60" s="35" t="s">
        <v>1495</v>
      </c>
      <c r="D60" s="35" t="s">
        <v>3660</v>
      </c>
      <c r="F60" s="35" t="s">
        <v>3591</v>
      </c>
      <c r="J60" s="35" t="s">
        <v>1701</v>
      </c>
      <c r="L60" s="35" t="s">
        <v>1511</v>
      </c>
      <c r="V60" s="35" t="s">
        <v>976</v>
      </c>
      <c r="AB60" s="35" t="s">
        <v>976</v>
      </c>
    </row>
    <row r="61" spans="1:34" x14ac:dyDescent="0.2">
      <c r="A61" s="20" t="s">
        <v>3541</v>
      </c>
      <c r="B61" s="21">
        <f>COUNTA(B3:B60)</f>
        <v>54</v>
      </c>
      <c r="C61" s="21">
        <f t="shared" ref="C61:AH61" si="0">COUNTA(C3:C60)</f>
        <v>53</v>
      </c>
      <c r="D61" s="21">
        <f t="shared" si="0"/>
        <v>56</v>
      </c>
      <c r="E61" s="21">
        <f t="shared" si="0"/>
        <v>4</v>
      </c>
      <c r="F61" s="21">
        <f t="shared" si="0"/>
        <v>55</v>
      </c>
      <c r="G61" s="21">
        <f t="shared" si="0"/>
        <v>2</v>
      </c>
      <c r="H61" s="21">
        <f t="shared" si="0"/>
        <v>54</v>
      </c>
      <c r="I61" s="21">
        <f t="shared" si="0"/>
        <v>1</v>
      </c>
      <c r="J61" s="21">
        <f t="shared" si="0"/>
        <v>58</v>
      </c>
      <c r="K61" s="21">
        <f t="shared" si="0"/>
        <v>4</v>
      </c>
      <c r="L61" s="21">
        <f t="shared" si="0"/>
        <v>58</v>
      </c>
      <c r="M61" s="21">
        <f t="shared" si="0"/>
        <v>8</v>
      </c>
      <c r="N61" s="21">
        <f t="shared" si="0"/>
        <v>24</v>
      </c>
      <c r="O61" s="21">
        <f t="shared" si="0"/>
        <v>54</v>
      </c>
      <c r="P61" s="21">
        <f t="shared" si="0"/>
        <v>1</v>
      </c>
      <c r="Q61" s="21">
        <f t="shared" si="0"/>
        <v>55</v>
      </c>
      <c r="R61" s="21">
        <f t="shared" si="0"/>
        <v>8</v>
      </c>
      <c r="S61" s="21">
        <f t="shared" si="0"/>
        <v>2</v>
      </c>
      <c r="T61" s="21">
        <f t="shared" si="0"/>
        <v>8</v>
      </c>
      <c r="U61" s="21">
        <f t="shared" si="0"/>
        <v>0</v>
      </c>
      <c r="V61" s="21">
        <f t="shared" si="0"/>
        <v>58</v>
      </c>
      <c r="W61" s="21">
        <f t="shared" si="0"/>
        <v>34</v>
      </c>
      <c r="X61" s="21">
        <f t="shared" si="0"/>
        <v>9</v>
      </c>
      <c r="Y61" s="21">
        <f t="shared" si="0"/>
        <v>34</v>
      </c>
      <c r="Z61" s="21">
        <f t="shared" si="0"/>
        <v>4</v>
      </c>
      <c r="AA61" s="21">
        <f t="shared" si="0"/>
        <v>9</v>
      </c>
      <c r="AB61" s="21">
        <f t="shared" si="0"/>
        <v>57</v>
      </c>
      <c r="AC61" s="21">
        <f t="shared" si="0"/>
        <v>18</v>
      </c>
      <c r="AD61" s="21">
        <f t="shared" si="0"/>
        <v>5</v>
      </c>
      <c r="AE61" s="21">
        <f t="shared" si="0"/>
        <v>55</v>
      </c>
      <c r="AF61" s="21">
        <f t="shared" si="0"/>
        <v>6</v>
      </c>
      <c r="AG61" s="21">
        <f t="shared" si="0"/>
        <v>6</v>
      </c>
      <c r="AH61" s="21">
        <f t="shared" si="0"/>
        <v>33</v>
      </c>
    </row>
  </sheetData>
  <autoFilter ref="A2:AH2" xr:uid="{14E03AAB-C30D-48D2-9522-13362C6AB2D7}"/>
  <sortState xmlns:xlrd2="http://schemas.microsoft.com/office/spreadsheetml/2017/richdata2" ref="A3:AH60">
    <sortCondition ref="A3:A60"/>
  </sortState>
  <conditionalFormatting sqref="A3:A59">
    <cfRule type="duplicateValues" dxfId="17" priority="2"/>
    <cfRule type="duplicateValues" dxfId="16" priority="3"/>
  </conditionalFormatting>
  <conditionalFormatting sqref="A60">
    <cfRule type="duplicateValues" dxfId="15" priority="1"/>
  </conditionalFormatting>
  <hyperlinks>
    <hyperlink ref="A1" location="Index!A1" display="Back to Index" xr:uid="{00000000-0004-0000-0700-000000000000}"/>
  </hyperlink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61"/>
  <sheetViews>
    <sheetView zoomScaleNormal="100" workbookViewId="0">
      <pane xSplit="1" ySplit="2" topLeftCell="B3" activePane="bottomRight" state="frozen"/>
      <selection sqref="A1:B1"/>
      <selection pane="topRight" sqref="A1:B1"/>
      <selection pane="bottomLeft" sqref="A1:B1"/>
      <selection pane="bottomRight" activeCell="B3" sqref="B3"/>
    </sheetView>
  </sheetViews>
  <sheetFormatPr defaultRowHeight="12.75" x14ac:dyDescent="0.2"/>
  <cols>
    <col min="1" max="1" width="13.5703125" style="34" bestFit="1" customWidth="1"/>
    <col min="2" max="7" width="30.7109375" style="35" customWidth="1"/>
    <col min="8" max="8" width="50.7109375" style="35" customWidth="1"/>
    <col min="9" max="9" width="30.7109375" style="35" customWidth="1"/>
    <col min="10" max="10" width="50.7109375" style="35" customWidth="1"/>
    <col min="11" max="15" width="30.7109375" style="35" customWidth="1"/>
    <col min="16" max="16" width="50.7109375" style="35" customWidth="1"/>
    <col min="17" max="20" width="30.7109375" style="35" customWidth="1"/>
    <col min="21" max="21" width="50.7109375" style="35" customWidth="1"/>
    <col min="22" max="27" width="30.7109375" style="35" customWidth="1"/>
    <col min="28" max="16384" width="9.140625" style="34"/>
  </cols>
  <sheetData>
    <row r="1" spans="1:27" s="33" customFormat="1" x14ac:dyDescent="0.2">
      <c r="A1" s="31" t="s">
        <v>969</v>
      </c>
      <c r="B1" s="32" t="s">
        <v>466</v>
      </c>
      <c r="C1" s="32" t="s">
        <v>467</v>
      </c>
      <c r="D1" s="32" t="s">
        <v>468</v>
      </c>
      <c r="E1" s="32" t="s">
        <v>469</v>
      </c>
      <c r="F1" s="32" t="s">
        <v>470</v>
      </c>
      <c r="G1" s="32" t="s">
        <v>471</v>
      </c>
      <c r="H1" s="32" t="s">
        <v>472</v>
      </c>
      <c r="I1" s="32" t="s">
        <v>473</v>
      </c>
      <c r="J1" s="32" t="s">
        <v>474</v>
      </c>
      <c r="K1" s="32" t="s">
        <v>475</v>
      </c>
      <c r="L1" s="32" t="s">
        <v>476</v>
      </c>
      <c r="M1" s="32" t="s">
        <v>477</v>
      </c>
      <c r="N1" s="32" t="s">
        <v>478</v>
      </c>
      <c r="O1" s="32" t="s">
        <v>479</v>
      </c>
      <c r="P1" s="32" t="s">
        <v>480</v>
      </c>
      <c r="Q1" s="32" t="s">
        <v>481</v>
      </c>
      <c r="R1" s="32" t="s">
        <v>482</v>
      </c>
      <c r="S1" s="32" t="s">
        <v>483</v>
      </c>
      <c r="T1" s="32" t="s">
        <v>484</v>
      </c>
      <c r="U1" s="32" t="s">
        <v>485</v>
      </c>
      <c r="V1" s="32" t="s">
        <v>486</v>
      </c>
      <c r="W1" s="32" t="s">
        <v>487</v>
      </c>
      <c r="X1" s="32" t="s">
        <v>488</v>
      </c>
      <c r="Y1" s="32" t="s">
        <v>489</v>
      </c>
      <c r="Z1" s="32" t="s">
        <v>490</v>
      </c>
      <c r="AA1" s="32" t="s">
        <v>491</v>
      </c>
    </row>
    <row r="2" spans="1:27" s="33" customFormat="1" ht="51" x14ac:dyDescent="0.2">
      <c r="A2" s="33" t="s">
        <v>968</v>
      </c>
      <c r="B2" s="4" t="s">
        <v>3003</v>
      </c>
      <c r="C2" s="32" t="s">
        <v>3004</v>
      </c>
      <c r="D2" s="4" t="s">
        <v>3005</v>
      </c>
      <c r="E2" s="4" t="s">
        <v>3006</v>
      </c>
      <c r="F2" s="32" t="s">
        <v>3007</v>
      </c>
      <c r="G2" s="32" t="s">
        <v>3008</v>
      </c>
      <c r="H2" s="4" t="s">
        <v>3009</v>
      </c>
      <c r="I2" s="4" t="s">
        <v>3010</v>
      </c>
      <c r="J2" s="32" t="s">
        <v>3011</v>
      </c>
      <c r="K2" s="32" t="s">
        <v>3012</v>
      </c>
      <c r="L2" s="4" t="s">
        <v>3013</v>
      </c>
      <c r="M2" s="32" t="s">
        <v>3014</v>
      </c>
      <c r="N2" s="4" t="s">
        <v>3015</v>
      </c>
      <c r="O2" s="32" t="s">
        <v>3016</v>
      </c>
      <c r="P2" s="32" t="s">
        <v>3017</v>
      </c>
      <c r="Q2" s="4" t="s">
        <v>3018</v>
      </c>
      <c r="R2" s="4" t="s">
        <v>3019</v>
      </c>
      <c r="S2" s="32" t="s">
        <v>3020</v>
      </c>
      <c r="T2" s="32" t="s">
        <v>3450</v>
      </c>
      <c r="U2" s="32" t="s">
        <v>3021</v>
      </c>
      <c r="V2" s="4" t="s">
        <v>3022</v>
      </c>
      <c r="W2" s="32" t="s">
        <v>3023</v>
      </c>
      <c r="X2" s="4" t="s">
        <v>3024</v>
      </c>
      <c r="Y2" s="32" t="s">
        <v>3025</v>
      </c>
      <c r="Z2" s="32" t="s">
        <v>3026</v>
      </c>
      <c r="AA2" s="4" t="s">
        <v>3027</v>
      </c>
    </row>
    <row r="3" spans="1:27" ht="38.25" x14ac:dyDescent="0.2">
      <c r="A3" s="34" t="s">
        <v>922</v>
      </c>
      <c r="B3" s="35" t="s">
        <v>972</v>
      </c>
      <c r="C3" s="35" t="s">
        <v>1754</v>
      </c>
      <c r="E3" s="35">
        <v>5</v>
      </c>
      <c r="F3" s="35" t="s">
        <v>976</v>
      </c>
      <c r="H3" s="35" t="s">
        <v>3684</v>
      </c>
      <c r="J3" s="35" t="s">
        <v>3693</v>
      </c>
      <c r="L3" s="35" t="s">
        <v>976</v>
      </c>
      <c r="N3" s="35" t="s">
        <v>976</v>
      </c>
      <c r="O3" s="35" t="s">
        <v>972</v>
      </c>
      <c r="P3" s="35" t="s">
        <v>1791</v>
      </c>
      <c r="Q3" s="35" t="s">
        <v>972</v>
      </c>
      <c r="R3" s="35" t="s">
        <v>1792</v>
      </c>
      <c r="S3" s="35" t="s">
        <v>1746</v>
      </c>
      <c r="V3" s="35" t="s">
        <v>972</v>
      </c>
      <c r="W3" s="35" t="s">
        <v>972</v>
      </c>
      <c r="X3" s="35" t="s">
        <v>1757</v>
      </c>
      <c r="Y3" s="35" t="s">
        <v>1758</v>
      </c>
      <c r="AA3" s="35" t="s">
        <v>1779</v>
      </c>
    </row>
    <row r="4" spans="1:27" ht="51" x14ac:dyDescent="0.2">
      <c r="A4" s="34" t="s">
        <v>930</v>
      </c>
      <c r="B4" s="35" t="s">
        <v>972</v>
      </c>
      <c r="C4" s="35" t="s">
        <v>1754</v>
      </c>
      <c r="E4" s="35">
        <v>6</v>
      </c>
      <c r="F4" s="35" t="s">
        <v>976</v>
      </c>
      <c r="H4" s="35" t="s">
        <v>3687</v>
      </c>
      <c r="J4" s="35" t="s">
        <v>1810</v>
      </c>
      <c r="L4" s="35" t="s">
        <v>976</v>
      </c>
      <c r="N4" s="35" t="s">
        <v>972</v>
      </c>
      <c r="O4" s="35" t="s">
        <v>976</v>
      </c>
      <c r="Q4" s="35" t="s">
        <v>972</v>
      </c>
      <c r="R4" s="35" t="s">
        <v>1811</v>
      </c>
      <c r="S4" s="35" t="s">
        <v>990</v>
      </c>
      <c r="T4" s="35" t="s">
        <v>1812</v>
      </c>
      <c r="U4" s="35" t="s">
        <v>1813</v>
      </c>
      <c r="V4" s="35" t="s">
        <v>976</v>
      </c>
      <c r="W4" s="35" t="s">
        <v>972</v>
      </c>
      <c r="X4" s="35" t="s">
        <v>1752</v>
      </c>
      <c r="Y4" s="35" t="s">
        <v>990</v>
      </c>
      <c r="Z4" s="35" t="s">
        <v>1814</v>
      </c>
      <c r="AA4" s="35" t="s">
        <v>1779</v>
      </c>
    </row>
    <row r="5" spans="1:27" ht="51" x14ac:dyDescent="0.2">
      <c r="A5" s="34" t="s">
        <v>927</v>
      </c>
      <c r="B5" s="35" t="s">
        <v>972</v>
      </c>
      <c r="C5" s="35" t="s">
        <v>1744</v>
      </c>
      <c r="D5" s="35">
        <v>10</v>
      </c>
      <c r="F5" s="35" t="s">
        <v>976</v>
      </c>
      <c r="H5" s="35" t="s">
        <v>3680</v>
      </c>
      <c r="J5" s="35" t="s">
        <v>1803</v>
      </c>
      <c r="L5" s="35" t="s">
        <v>976</v>
      </c>
      <c r="N5" s="35" t="s">
        <v>972</v>
      </c>
      <c r="O5" s="35" t="s">
        <v>976</v>
      </c>
      <c r="Q5" s="35" t="s">
        <v>972</v>
      </c>
      <c r="R5" s="35" t="s">
        <v>1804</v>
      </c>
      <c r="S5" s="35" t="s">
        <v>1746</v>
      </c>
      <c r="U5" s="35" t="s">
        <v>1805</v>
      </c>
      <c r="V5" s="35" t="s">
        <v>976</v>
      </c>
      <c r="W5" s="35" t="s">
        <v>972</v>
      </c>
      <c r="X5" s="35" t="s">
        <v>1747</v>
      </c>
      <c r="Y5" s="35" t="s">
        <v>990</v>
      </c>
      <c r="AA5" s="35" t="s">
        <v>1779</v>
      </c>
    </row>
    <row r="6" spans="1:27" x14ac:dyDescent="0.2">
      <c r="A6" s="34" t="s">
        <v>914</v>
      </c>
      <c r="B6" s="35" t="s">
        <v>1023</v>
      </c>
    </row>
    <row r="7" spans="1:27" ht="76.5" x14ac:dyDescent="0.2">
      <c r="A7" s="34" t="s">
        <v>920</v>
      </c>
      <c r="B7" s="35" t="s">
        <v>972</v>
      </c>
      <c r="C7" s="35" t="s">
        <v>1744</v>
      </c>
      <c r="D7" s="35">
        <v>10</v>
      </c>
      <c r="F7" s="35" t="s">
        <v>972</v>
      </c>
      <c r="G7" s="35" t="s">
        <v>3674</v>
      </c>
      <c r="H7" s="35" t="s">
        <v>1784</v>
      </c>
      <c r="J7" s="35" t="s">
        <v>1785</v>
      </c>
      <c r="L7" s="35" t="s">
        <v>976</v>
      </c>
      <c r="N7" s="35" t="s">
        <v>976</v>
      </c>
      <c r="O7" s="35" t="s">
        <v>1023</v>
      </c>
      <c r="Q7" s="35" t="s">
        <v>972</v>
      </c>
      <c r="R7" s="35" t="s">
        <v>1786</v>
      </c>
      <c r="S7" s="35" t="s">
        <v>1746</v>
      </c>
      <c r="U7" s="35" t="s">
        <v>1787</v>
      </c>
      <c r="V7" s="35" t="s">
        <v>976</v>
      </c>
      <c r="W7" s="35" t="s">
        <v>972</v>
      </c>
      <c r="X7" s="35" t="s">
        <v>1788</v>
      </c>
      <c r="Y7" s="35" t="s">
        <v>990</v>
      </c>
      <c r="Z7" s="35" t="s">
        <v>1025</v>
      </c>
      <c r="AA7" s="35" t="s">
        <v>1769</v>
      </c>
    </row>
    <row r="8" spans="1:27" ht="63.75" x14ac:dyDescent="0.2">
      <c r="A8" s="34" t="s">
        <v>959</v>
      </c>
      <c r="B8" s="35" t="s">
        <v>972</v>
      </c>
      <c r="C8" s="35" t="s">
        <v>1744</v>
      </c>
      <c r="D8" s="35">
        <v>10</v>
      </c>
      <c r="F8" s="35" t="s">
        <v>972</v>
      </c>
      <c r="G8" s="35" t="s">
        <v>1907</v>
      </c>
      <c r="H8" s="35" t="s">
        <v>3676</v>
      </c>
      <c r="J8" s="35" t="s">
        <v>3689</v>
      </c>
      <c r="L8" s="35" t="s">
        <v>976</v>
      </c>
      <c r="N8" s="35" t="s">
        <v>976</v>
      </c>
      <c r="O8" s="35" t="s">
        <v>976</v>
      </c>
      <c r="Q8" s="35" t="s">
        <v>972</v>
      </c>
      <c r="R8" s="35" t="s">
        <v>1908</v>
      </c>
      <c r="S8" s="35" t="s">
        <v>1746</v>
      </c>
      <c r="U8" s="35" t="s">
        <v>1909</v>
      </c>
      <c r="V8" s="35" t="s">
        <v>972</v>
      </c>
      <c r="W8" s="35" t="s">
        <v>972</v>
      </c>
      <c r="X8" s="35" t="s">
        <v>1757</v>
      </c>
      <c r="Y8" s="35" t="s">
        <v>1773</v>
      </c>
      <c r="AA8" s="35" t="s">
        <v>1779</v>
      </c>
    </row>
    <row r="9" spans="1:27" ht="51" x14ac:dyDescent="0.2">
      <c r="A9" s="34" t="s">
        <v>933</v>
      </c>
      <c r="B9" s="35" t="s">
        <v>972</v>
      </c>
      <c r="C9" s="35" t="s">
        <v>1744</v>
      </c>
      <c r="D9" s="35">
        <v>6</v>
      </c>
      <c r="F9" s="35" t="s">
        <v>976</v>
      </c>
      <c r="H9" s="35" t="s">
        <v>3678</v>
      </c>
      <c r="J9" s="35" t="s">
        <v>1824</v>
      </c>
      <c r="L9" s="35" t="s">
        <v>976</v>
      </c>
      <c r="N9" s="35" t="s">
        <v>972</v>
      </c>
      <c r="O9" s="35" t="s">
        <v>976</v>
      </c>
      <c r="Q9" s="35" t="s">
        <v>972</v>
      </c>
      <c r="R9" s="35" t="s">
        <v>1825</v>
      </c>
      <c r="S9" s="35" t="s">
        <v>1746</v>
      </c>
      <c r="U9" s="35" t="s">
        <v>1826</v>
      </c>
      <c r="V9" s="35" t="s">
        <v>976</v>
      </c>
      <c r="W9" s="35" t="s">
        <v>972</v>
      </c>
      <c r="X9" s="35" t="s">
        <v>1752</v>
      </c>
      <c r="Y9" s="35" t="s">
        <v>990</v>
      </c>
      <c r="Z9" s="35" t="s">
        <v>1827</v>
      </c>
      <c r="AA9" s="35" t="s">
        <v>1828</v>
      </c>
    </row>
    <row r="10" spans="1:27" ht="51" x14ac:dyDescent="0.2">
      <c r="A10" s="34" t="s">
        <v>912</v>
      </c>
      <c r="B10" s="35" t="s">
        <v>972</v>
      </c>
      <c r="C10" s="35" t="s">
        <v>1744</v>
      </c>
      <c r="D10" s="35">
        <v>6</v>
      </c>
      <c r="H10" s="35" t="s">
        <v>3686</v>
      </c>
      <c r="J10" s="35" t="s">
        <v>3689</v>
      </c>
      <c r="N10" s="35" t="s">
        <v>972</v>
      </c>
      <c r="O10" s="35" t="s">
        <v>976</v>
      </c>
      <c r="Q10" s="35" t="s">
        <v>972</v>
      </c>
      <c r="R10" s="35" t="s">
        <v>1750</v>
      </c>
      <c r="S10" s="35" t="s">
        <v>1746</v>
      </c>
      <c r="U10" s="35" t="s">
        <v>1751</v>
      </c>
      <c r="W10" s="35" t="s">
        <v>972</v>
      </c>
      <c r="X10" s="35" t="s">
        <v>1752</v>
      </c>
      <c r="AA10" s="35" t="s">
        <v>1753</v>
      </c>
    </row>
    <row r="11" spans="1:27" ht="63.75" x14ac:dyDescent="0.2">
      <c r="A11" s="34" t="s">
        <v>936</v>
      </c>
      <c r="B11" s="35" t="s">
        <v>972</v>
      </c>
      <c r="C11" s="35" t="s">
        <v>1744</v>
      </c>
      <c r="D11" s="35">
        <v>8</v>
      </c>
      <c r="F11" s="35" t="s">
        <v>976</v>
      </c>
      <c r="H11" s="35" t="s">
        <v>3676</v>
      </c>
      <c r="J11" s="35" t="s">
        <v>3689</v>
      </c>
      <c r="L11" s="35" t="s">
        <v>976</v>
      </c>
      <c r="N11" s="35" t="s">
        <v>976</v>
      </c>
      <c r="O11" s="35" t="s">
        <v>976</v>
      </c>
      <c r="Q11" s="35" t="s">
        <v>972</v>
      </c>
      <c r="R11" s="35" t="s">
        <v>1834</v>
      </c>
      <c r="S11" s="35" t="s">
        <v>1746</v>
      </c>
      <c r="U11" s="35" t="s">
        <v>1835</v>
      </c>
      <c r="V11" s="35" t="s">
        <v>972</v>
      </c>
      <c r="W11" s="35" t="s">
        <v>972</v>
      </c>
      <c r="X11" s="35" t="s">
        <v>1757</v>
      </c>
      <c r="Y11" s="35" t="s">
        <v>1773</v>
      </c>
      <c r="AA11" s="35" t="s">
        <v>1779</v>
      </c>
    </row>
    <row r="12" spans="1:27" ht="76.5" x14ac:dyDescent="0.2">
      <c r="A12" s="34" t="s">
        <v>911</v>
      </c>
      <c r="B12" s="35" t="s">
        <v>972</v>
      </c>
      <c r="C12" s="35" t="s">
        <v>1744</v>
      </c>
      <c r="D12" s="35">
        <v>6</v>
      </c>
      <c r="F12" s="35" t="s">
        <v>976</v>
      </c>
      <c r="H12" s="35" t="s">
        <v>3676</v>
      </c>
      <c r="J12" s="35" t="s">
        <v>3689</v>
      </c>
      <c r="L12" s="35" t="s">
        <v>976</v>
      </c>
      <c r="N12" s="35" t="s">
        <v>972</v>
      </c>
      <c r="O12" s="35" t="s">
        <v>976</v>
      </c>
      <c r="Q12" s="35" t="s">
        <v>972</v>
      </c>
      <c r="R12" s="35" t="s">
        <v>1745</v>
      </c>
      <c r="S12" s="35" t="s">
        <v>1746</v>
      </c>
      <c r="U12" s="35" t="s">
        <v>3698</v>
      </c>
      <c r="V12" s="35" t="s">
        <v>976</v>
      </c>
      <c r="W12" s="35" t="s">
        <v>972</v>
      </c>
      <c r="X12" s="35" t="s">
        <v>1747</v>
      </c>
      <c r="Y12" s="35" t="s">
        <v>990</v>
      </c>
      <c r="Z12" s="35" t="s">
        <v>1748</v>
      </c>
      <c r="AA12" s="35" t="s">
        <v>1749</v>
      </c>
    </row>
    <row r="13" spans="1:27" ht="51" x14ac:dyDescent="0.2">
      <c r="A13" s="34" t="s">
        <v>928</v>
      </c>
      <c r="B13" s="35" t="s">
        <v>972</v>
      </c>
      <c r="C13" s="35" t="s">
        <v>1754</v>
      </c>
      <c r="E13" s="35">
        <v>6</v>
      </c>
      <c r="F13" s="35" t="s">
        <v>976</v>
      </c>
      <c r="H13" s="35" t="s">
        <v>3679</v>
      </c>
      <c r="J13" s="35" t="s">
        <v>3689</v>
      </c>
      <c r="L13" s="35" t="s">
        <v>976</v>
      </c>
      <c r="N13" s="35" t="s">
        <v>972</v>
      </c>
      <c r="O13" s="35" t="s">
        <v>976</v>
      </c>
      <c r="Q13" s="35" t="s">
        <v>972</v>
      </c>
      <c r="V13" s="35" t="s">
        <v>976</v>
      </c>
      <c r="W13" s="35" t="s">
        <v>976</v>
      </c>
    </row>
    <row r="14" spans="1:27" ht="63.75" x14ac:dyDescent="0.2">
      <c r="A14" s="34" t="s">
        <v>926</v>
      </c>
      <c r="B14" s="35" t="s">
        <v>972</v>
      </c>
      <c r="C14" s="35" t="s">
        <v>1744</v>
      </c>
      <c r="D14" s="35">
        <v>5</v>
      </c>
      <c r="F14" s="35" t="s">
        <v>976</v>
      </c>
      <c r="H14" s="35" t="s">
        <v>3677</v>
      </c>
      <c r="I14" s="35" t="s">
        <v>1801</v>
      </c>
      <c r="J14" s="35" t="s">
        <v>3690</v>
      </c>
      <c r="L14" s="35" t="s">
        <v>976</v>
      </c>
      <c r="N14" s="35" t="s">
        <v>976</v>
      </c>
      <c r="O14" s="35" t="s">
        <v>976</v>
      </c>
      <c r="Q14" s="35" t="s">
        <v>972</v>
      </c>
      <c r="R14" s="35" t="s">
        <v>1802</v>
      </c>
      <c r="S14" s="35" t="s">
        <v>1746</v>
      </c>
      <c r="V14" s="35" t="s">
        <v>976</v>
      </c>
      <c r="W14" s="35" t="s">
        <v>972</v>
      </c>
      <c r="X14" s="35" t="s">
        <v>1757</v>
      </c>
      <c r="Y14" s="35" t="s">
        <v>1758</v>
      </c>
    </row>
    <row r="15" spans="1:27" ht="63.75" x14ac:dyDescent="0.2">
      <c r="A15" s="34" t="s">
        <v>948</v>
      </c>
      <c r="B15" s="35" t="s">
        <v>972</v>
      </c>
      <c r="C15" s="35" t="s">
        <v>1754</v>
      </c>
      <c r="E15" s="35">
        <v>8</v>
      </c>
      <c r="F15" s="35" t="s">
        <v>976</v>
      </c>
      <c r="H15" s="35" t="s">
        <v>3676</v>
      </c>
      <c r="J15" s="35" t="s">
        <v>3689</v>
      </c>
      <c r="L15" s="35" t="s">
        <v>976</v>
      </c>
      <c r="N15" s="35" t="s">
        <v>976</v>
      </c>
      <c r="O15" s="35" t="s">
        <v>972</v>
      </c>
      <c r="P15" s="35" t="s">
        <v>1878</v>
      </c>
      <c r="Q15" s="35" t="s">
        <v>976</v>
      </c>
      <c r="S15" s="35" t="s">
        <v>1746</v>
      </c>
      <c r="U15" s="35" t="s">
        <v>1879</v>
      </c>
      <c r="V15" s="35" t="s">
        <v>976</v>
      </c>
      <c r="W15" s="35" t="s">
        <v>972</v>
      </c>
      <c r="X15" s="35" t="s">
        <v>1757</v>
      </c>
      <c r="AA15" s="35" t="s">
        <v>1880</v>
      </c>
    </row>
    <row r="16" spans="1:27" ht="76.5" x14ac:dyDescent="0.2">
      <c r="A16" s="34" t="s">
        <v>932</v>
      </c>
      <c r="B16" s="35" t="s">
        <v>972</v>
      </c>
      <c r="C16" s="35" t="s">
        <v>1754</v>
      </c>
      <c r="E16" s="35">
        <v>10</v>
      </c>
      <c r="F16" s="35" t="s">
        <v>972</v>
      </c>
      <c r="G16" s="35" t="s">
        <v>1818</v>
      </c>
      <c r="H16" s="35" t="s">
        <v>3677</v>
      </c>
      <c r="I16" s="35" t="s">
        <v>1819</v>
      </c>
      <c r="J16" s="35" t="s">
        <v>3692</v>
      </c>
      <c r="L16" s="35" t="s">
        <v>976</v>
      </c>
      <c r="N16" s="35" t="s">
        <v>972</v>
      </c>
      <c r="O16" s="35" t="s">
        <v>976</v>
      </c>
      <c r="Q16" s="35" t="s">
        <v>972</v>
      </c>
      <c r="R16" s="35" t="s">
        <v>1820</v>
      </c>
      <c r="S16" s="35" t="s">
        <v>1776</v>
      </c>
      <c r="U16" s="35" t="s">
        <v>1821</v>
      </c>
      <c r="V16" s="35" t="s">
        <v>976</v>
      </c>
      <c r="W16" s="35" t="s">
        <v>972</v>
      </c>
      <c r="X16" s="35" t="s">
        <v>1822</v>
      </c>
      <c r="Y16" s="35" t="s">
        <v>990</v>
      </c>
      <c r="Z16" s="35" t="s">
        <v>1823</v>
      </c>
      <c r="AA16" s="35" t="s">
        <v>1769</v>
      </c>
    </row>
    <row r="17" spans="1:27" ht="63.75" x14ac:dyDescent="0.2">
      <c r="A17" s="34" t="s">
        <v>941</v>
      </c>
      <c r="B17" s="35" t="s">
        <v>972</v>
      </c>
      <c r="C17" s="35" t="s">
        <v>1744</v>
      </c>
      <c r="D17" s="35">
        <v>8</v>
      </c>
      <c r="F17" s="35" t="s">
        <v>976</v>
      </c>
      <c r="H17" s="35" t="s">
        <v>3676</v>
      </c>
      <c r="J17" s="35" t="s">
        <v>3691</v>
      </c>
      <c r="K17" s="35" t="s">
        <v>1849</v>
      </c>
      <c r="L17" s="35" t="s">
        <v>972</v>
      </c>
      <c r="N17" s="35" t="s">
        <v>976</v>
      </c>
      <c r="O17" s="35" t="s">
        <v>976</v>
      </c>
      <c r="Q17" s="35" t="s">
        <v>972</v>
      </c>
      <c r="R17" s="35" t="s">
        <v>1850</v>
      </c>
      <c r="S17" s="35" t="s">
        <v>1746</v>
      </c>
      <c r="U17" s="35" t="s">
        <v>1851</v>
      </c>
      <c r="V17" s="35" t="s">
        <v>976</v>
      </c>
      <c r="W17" s="35" t="s">
        <v>972</v>
      </c>
      <c r="X17" s="35" t="s">
        <v>1788</v>
      </c>
      <c r="Y17" s="35" t="s">
        <v>990</v>
      </c>
      <c r="Z17" s="35" t="s">
        <v>1852</v>
      </c>
      <c r="AA17" s="35" t="s">
        <v>1853</v>
      </c>
    </row>
    <row r="18" spans="1:27" ht="63.75" x14ac:dyDescent="0.2">
      <c r="A18" s="34" t="s">
        <v>956</v>
      </c>
      <c r="B18" s="35" t="s">
        <v>972</v>
      </c>
      <c r="C18" s="35" t="s">
        <v>1744</v>
      </c>
      <c r="D18" s="35">
        <v>10</v>
      </c>
      <c r="F18" s="35" t="s">
        <v>976</v>
      </c>
      <c r="H18" s="35" t="s">
        <v>3676</v>
      </c>
      <c r="J18" s="35" t="s">
        <v>1770</v>
      </c>
      <c r="L18" s="35" t="s">
        <v>976</v>
      </c>
      <c r="N18" s="35" t="s">
        <v>976</v>
      </c>
      <c r="O18" s="35" t="s">
        <v>976</v>
      </c>
      <c r="Q18" s="35" t="s">
        <v>976</v>
      </c>
      <c r="S18" s="35" t="s">
        <v>1746</v>
      </c>
      <c r="V18" s="35" t="s">
        <v>976</v>
      </c>
      <c r="W18" s="35" t="s">
        <v>972</v>
      </c>
      <c r="X18" s="35" t="s">
        <v>1747</v>
      </c>
      <c r="Y18" s="35" t="s">
        <v>1773</v>
      </c>
      <c r="AA18" s="35" t="s">
        <v>1779</v>
      </c>
    </row>
    <row r="19" spans="1:27" ht="63.75" x14ac:dyDescent="0.2">
      <c r="A19" s="34" t="s">
        <v>934</v>
      </c>
      <c r="B19" s="35" t="s">
        <v>972</v>
      </c>
      <c r="C19" s="35" t="s">
        <v>1754</v>
      </c>
      <c r="E19" s="35">
        <v>8</v>
      </c>
      <c r="F19" s="35" t="s">
        <v>976</v>
      </c>
      <c r="H19" s="35" t="s">
        <v>3676</v>
      </c>
      <c r="J19" s="35" t="s">
        <v>1770</v>
      </c>
      <c r="L19" s="35" t="s">
        <v>972</v>
      </c>
      <c r="N19" s="35" t="s">
        <v>972</v>
      </c>
      <c r="O19" s="35" t="s">
        <v>976</v>
      </c>
      <c r="Q19" s="35" t="s">
        <v>972</v>
      </c>
      <c r="R19" s="35" t="s">
        <v>1829</v>
      </c>
      <c r="S19" s="35" t="s">
        <v>1746</v>
      </c>
      <c r="V19" s="35" t="s">
        <v>976</v>
      </c>
      <c r="W19" s="35" t="s">
        <v>972</v>
      </c>
      <c r="X19" s="35" t="s">
        <v>1757</v>
      </c>
      <c r="AA19" s="35" t="s">
        <v>1830</v>
      </c>
    </row>
    <row r="20" spans="1:27" ht="63.75" x14ac:dyDescent="0.2">
      <c r="A20" s="34" t="s">
        <v>961</v>
      </c>
      <c r="B20" s="35" t="s">
        <v>972</v>
      </c>
      <c r="C20" s="35" t="s">
        <v>1744</v>
      </c>
      <c r="D20" s="35">
        <v>6</v>
      </c>
      <c r="F20" s="35" t="s">
        <v>976</v>
      </c>
      <c r="H20" s="35" t="s">
        <v>3887</v>
      </c>
      <c r="J20" s="35" t="s">
        <v>3690</v>
      </c>
      <c r="L20" s="35" t="s">
        <v>976</v>
      </c>
      <c r="N20" s="35" t="s">
        <v>976</v>
      </c>
      <c r="O20" s="35" t="s">
        <v>976</v>
      </c>
      <c r="Q20" s="35" t="s">
        <v>972</v>
      </c>
      <c r="R20" s="35" t="s">
        <v>1913</v>
      </c>
      <c r="S20" s="35" t="s">
        <v>1746</v>
      </c>
      <c r="U20" s="35" t="s">
        <v>1637</v>
      </c>
      <c r="V20" s="35" t="s">
        <v>976</v>
      </c>
      <c r="W20" s="35" t="s">
        <v>972</v>
      </c>
      <c r="X20" s="35" t="s">
        <v>1747</v>
      </c>
      <c r="AA20" s="35" t="s">
        <v>1779</v>
      </c>
    </row>
    <row r="21" spans="1:27" ht="38.25" x14ac:dyDescent="0.2">
      <c r="A21" s="34" t="s">
        <v>939</v>
      </c>
      <c r="B21" s="35" t="s">
        <v>972</v>
      </c>
      <c r="C21" s="35" t="s">
        <v>1744</v>
      </c>
      <c r="D21" s="35">
        <v>6</v>
      </c>
      <c r="F21" s="35" t="s">
        <v>976</v>
      </c>
      <c r="H21" s="35" t="s">
        <v>1842</v>
      </c>
      <c r="J21" s="35" t="s">
        <v>3690</v>
      </c>
      <c r="L21" s="35" t="s">
        <v>976</v>
      </c>
      <c r="N21" s="35" t="s">
        <v>976</v>
      </c>
      <c r="O21" s="35" t="s">
        <v>976</v>
      </c>
      <c r="Q21" s="35" t="s">
        <v>972</v>
      </c>
      <c r="R21" s="35" t="s">
        <v>1843</v>
      </c>
      <c r="S21" s="35" t="s">
        <v>1746</v>
      </c>
      <c r="U21" s="35" t="s">
        <v>1844</v>
      </c>
      <c r="V21" s="35" t="s">
        <v>976</v>
      </c>
      <c r="W21" s="35" t="s">
        <v>976</v>
      </c>
      <c r="Y21" s="35" t="s">
        <v>1773</v>
      </c>
      <c r="AA21" s="35" t="s">
        <v>1845</v>
      </c>
    </row>
    <row r="22" spans="1:27" ht="51" x14ac:dyDescent="0.2">
      <c r="A22" s="34" t="s">
        <v>938</v>
      </c>
      <c r="B22" s="35" t="s">
        <v>972</v>
      </c>
      <c r="C22" s="35" t="s">
        <v>1754</v>
      </c>
      <c r="E22" s="35">
        <v>10</v>
      </c>
      <c r="F22" s="35" t="s">
        <v>976</v>
      </c>
      <c r="H22" s="35" t="s">
        <v>3675</v>
      </c>
      <c r="J22" s="35" t="s">
        <v>3689</v>
      </c>
      <c r="L22" s="35" t="s">
        <v>976</v>
      </c>
      <c r="N22" s="35" t="s">
        <v>976</v>
      </c>
      <c r="O22" s="35" t="s">
        <v>1023</v>
      </c>
      <c r="Q22" s="35" t="s">
        <v>972</v>
      </c>
      <c r="R22" s="35" t="s">
        <v>1839</v>
      </c>
      <c r="S22" s="35" t="s">
        <v>1746</v>
      </c>
      <c r="U22" s="35" t="s">
        <v>1840</v>
      </c>
      <c r="V22" s="35" t="s">
        <v>976</v>
      </c>
      <c r="W22" s="35" t="s">
        <v>972</v>
      </c>
      <c r="X22" s="35" t="s">
        <v>1747</v>
      </c>
      <c r="Y22" s="35" t="s">
        <v>1758</v>
      </c>
      <c r="AA22" s="35" t="s">
        <v>1841</v>
      </c>
    </row>
    <row r="23" spans="1:27" ht="63.75" x14ac:dyDescent="0.2">
      <c r="A23" s="34" t="s">
        <v>947</v>
      </c>
      <c r="B23" s="35" t="s">
        <v>972</v>
      </c>
      <c r="C23" s="35" t="s">
        <v>1754</v>
      </c>
      <c r="E23" s="35">
        <v>20</v>
      </c>
      <c r="F23" s="35" t="s">
        <v>972</v>
      </c>
      <c r="G23" s="35" t="s">
        <v>1873</v>
      </c>
      <c r="H23" s="35" t="s">
        <v>3676</v>
      </c>
      <c r="J23" s="35" t="s">
        <v>1770</v>
      </c>
      <c r="L23" s="35" t="s">
        <v>976</v>
      </c>
      <c r="N23" s="35" t="s">
        <v>972</v>
      </c>
      <c r="O23" s="35" t="s">
        <v>976</v>
      </c>
      <c r="Q23" s="35" t="s">
        <v>972</v>
      </c>
      <c r="R23" s="35" t="s">
        <v>1874</v>
      </c>
      <c r="S23" s="35" t="s">
        <v>1746</v>
      </c>
      <c r="U23" s="35" t="s">
        <v>1875</v>
      </c>
      <c r="V23" s="35" t="s">
        <v>976</v>
      </c>
      <c r="W23" s="35" t="s">
        <v>972</v>
      </c>
      <c r="X23" s="35" t="s">
        <v>1757</v>
      </c>
      <c r="Y23" s="35" t="s">
        <v>990</v>
      </c>
      <c r="Z23" s="35" t="s">
        <v>1876</v>
      </c>
      <c r="AA23" s="35" t="s">
        <v>1877</v>
      </c>
    </row>
    <row r="24" spans="1:27" ht="51" x14ac:dyDescent="0.2">
      <c r="A24" s="34" t="s">
        <v>937</v>
      </c>
      <c r="B24" s="35" t="s">
        <v>972</v>
      </c>
      <c r="C24" s="35" t="s">
        <v>1754</v>
      </c>
      <c r="E24" s="35">
        <v>8</v>
      </c>
      <c r="F24" s="35" t="s">
        <v>976</v>
      </c>
      <c r="H24" s="35" t="s">
        <v>1781</v>
      </c>
      <c r="J24" s="35" t="s">
        <v>1806</v>
      </c>
      <c r="L24" s="35" t="s">
        <v>976</v>
      </c>
      <c r="N24" s="35" t="s">
        <v>976</v>
      </c>
      <c r="O24" s="35" t="s">
        <v>976</v>
      </c>
      <c r="Q24" s="35" t="s">
        <v>972</v>
      </c>
      <c r="R24" s="35" t="s">
        <v>1836</v>
      </c>
      <c r="S24" s="35" t="s">
        <v>1746</v>
      </c>
      <c r="U24" s="35" t="s">
        <v>1837</v>
      </c>
      <c r="V24" s="35" t="s">
        <v>976</v>
      </c>
      <c r="W24" s="35" t="s">
        <v>972</v>
      </c>
      <c r="X24" s="35" t="s">
        <v>1752</v>
      </c>
      <c r="Y24" s="35" t="s">
        <v>990</v>
      </c>
      <c r="AA24" s="35" t="s">
        <v>1838</v>
      </c>
    </row>
    <row r="25" spans="1:27" ht="51" x14ac:dyDescent="0.2">
      <c r="A25" s="34" t="s">
        <v>949</v>
      </c>
      <c r="B25" s="35" t="s">
        <v>972</v>
      </c>
      <c r="C25" s="35" t="s">
        <v>1754</v>
      </c>
      <c r="E25" s="35">
        <v>100</v>
      </c>
      <c r="F25" s="35" t="s">
        <v>972</v>
      </c>
      <c r="G25" s="35" t="s">
        <v>1881</v>
      </c>
      <c r="H25" s="35" t="s">
        <v>3682</v>
      </c>
      <c r="J25" s="35" t="s">
        <v>3690</v>
      </c>
      <c r="L25" s="35" t="s">
        <v>976</v>
      </c>
      <c r="N25" s="35" t="s">
        <v>972</v>
      </c>
      <c r="O25" s="35" t="s">
        <v>976</v>
      </c>
      <c r="Q25" s="35" t="s">
        <v>972</v>
      </c>
      <c r="R25" s="35" t="s">
        <v>1882</v>
      </c>
      <c r="S25" s="35" t="s">
        <v>1746</v>
      </c>
      <c r="U25" s="35" t="s">
        <v>1883</v>
      </c>
      <c r="V25" s="35" t="s">
        <v>976</v>
      </c>
      <c r="W25" s="35" t="s">
        <v>972</v>
      </c>
      <c r="X25" s="35" t="s">
        <v>1757</v>
      </c>
      <c r="Y25" s="35" t="s">
        <v>1773</v>
      </c>
      <c r="AA25" s="35" t="s">
        <v>1779</v>
      </c>
    </row>
    <row r="26" spans="1:27" ht="63.75" x14ac:dyDescent="0.2">
      <c r="A26" s="34" t="s">
        <v>963</v>
      </c>
      <c r="B26" s="35" t="s">
        <v>972</v>
      </c>
      <c r="C26" s="35" t="s">
        <v>1744</v>
      </c>
      <c r="D26" s="35">
        <v>5</v>
      </c>
      <c r="E26" s="35">
        <v>8</v>
      </c>
      <c r="F26" s="35" t="s">
        <v>976</v>
      </c>
      <c r="H26" s="35" t="s">
        <v>3676</v>
      </c>
      <c r="J26" s="35" t="s">
        <v>3689</v>
      </c>
      <c r="L26" s="35" t="s">
        <v>976</v>
      </c>
      <c r="N26" s="35" t="s">
        <v>972</v>
      </c>
      <c r="O26" s="35" t="s">
        <v>976</v>
      </c>
      <c r="Q26" s="35" t="s">
        <v>972</v>
      </c>
      <c r="R26" s="35" t="s">
        <v>1916</v>
      </c>
      <c r="S26" s="35" t="s">
        <v>1746</v>
      </c>
      <c r="V26" s="35" t="s">
        <v>976</v>
      </c>
      <c r="W26" s="35" t="s">
        <v>972</v>
      </c>
      <c r="X26" s="35" t="s">
        <v>1757</v>
      </c>
      <c r="Y26" s="35" t="s">
        <v>990</v>
      </c>
      <c r="Z26" s="35" t="s">
        <v>1917</v>
      </c>
      <c r="AA26" s="35" t="s">
        <v>1779</v>
      </c>
    </row>
    <row r="27" spans="1:27" ht="63.75" x14ac:dyDescent="0.2">
      <c r="A27" s="34" t="s">
        <v>913</v>
      </c>
      <c r="B27" s="35" t="s">
        <v>972</v>
      </c>
      <c r="C27" s="35" t="s">
        <v>1754</v>
      </c>
      <c r="E27" s="35">
        <v>6</v>
      </c>
      <c r="F27" s="35" t="s">
        <v>976</v>
      </c>
      <c r="H27" s="35" t="s">
        <v>3676</v>
      </c>
      <c r="J27" s="35" t="s">
        <v>3692</v>
      </c>
      <c r="L27" s="35" t="s">
        <v>976</v>
      </c>
      <c r="N27" s="35" t="s">
        <v>976</v>
      </c>
      <c r="O27" s="35" t="s">
        <v>976</v>
      </c>
      <c r="Q27" s="35" t="s">
        <v>972</v>
      </c>
      <c r="R27" s="35" t="s">
        <v>1755</v>
      </c>
      <c r="S27" s="35" t="s">
        <v>1746</v>
      </c>
      <c r="U27" s="35" t="s">
        <v>1756</v>
      </c>
      <c r="V27" s="35" t="s">
        <v>976</v>
      </c>
      <c r="W27" s="35" t="s">
        <v>972</v>
      </c>
      <c r="X27" s="35" t="s">
        <v>1757</v>
      </c>
      <c r="Y27" s="35" t="s">
        <v>1758</v>
      </c>
      <c r="AA27" s="35" t="s">
        <v>1517</v>
      </c>
    </row>
    <row r="28" spans="1:27" ht="51" x14ac:dyDescent="0.2">
      <c r="A28" s="34" t="s">
        <v>931</v>
      </c>
      <c r="B28" s="35" t="s">
        <v>972</v>
      </c>
      <c r="C28" s="35" t="s">
        <v>1754</v>
      </c>
      <c r="E28" s="35">
        <v>5</v>
      </c>
      <c r="F28" s="35" t="s">
        <v>976</v>
      </c>
      <c r="H28" s="35" t="s">
        <v>3680</v>
      </c>
      <c r="J28" s="35" t="s">
        <v>3694</v>
      </c>
      <c r="L28" s="35" t="s">
        <v>976</v>
      </c>
      <c r="N28" s="35" t="s">
        <v>976</v>
      </c>
      <c r="O28" s="35" t="s">
        <v>976</v>
      </c>
      <c r="Q28" s="35" t="s">
        <v>972</v>
      </c>
      <c r="R28" s="35" t="s">
        <v>1815</v>
      </c>
      <c r="S28" s="35" t="s">
        <v>1746</v>
      </c>
      <c r="U28" s="35" t="s">
        <v>1816</v>
      </c>
      <c r="V28" s="35" t="s">
        <v>976</v>
      </c>
      <c r="W28" s="35" t="s">
        <v>972</v>
      </c>
      <c r="X28" s="35" t="s">
        <v>1757</v>
      </c>
      <c r="Y28" s="35" t="s">
        <v>1773</v>
      </c>
      <c r="AA28" s="35" t="s">
        <v>1817</v>
      </c>
    </row>
    <row r="29" spans="1:27" ht="38.25" x14ac:dyDescent="0.2">
      <c r="A29" s="34" t="s">
        <v>966</v>
      </c>
      <c r="B29" s="35" t="s">
        <v>972</v>
      </c>
      <c r="C29" s="35" t="s">
        <v>1754</v>
      </c>
      <c r="E29" s="35">
        <v>6</v>
      </c>
      <c r="F29" s="35" t="s">
        <v>976</v>
      </c>
      <c r="H29" s="35" t="s">
        <v>1831</v>
      </c>
      <c r="J29" s="35" t="s">
        <v>1810</v>
      </c>
      <c r="L29" s="35" t="s">
        <v>976</v>
      </c>
      <c r="N29" s="35" t="s">
        <v>976</v>
      </c>
      <c r="O29" s="35" t="s">
        <v>976</v>
      </c>
      <c r="Q29" s="35" t="s">
        <v>972</v>
      </c>
      <c r="R29" s="35" t="s">
        <v>1927</v>
      </c>
      <c r="S29" s="35" t="s">
        <v>990</v>
      </c>
      <c r="T29" s="35" t="s">
        <v>1928</v>
      </c>
      <c r="V29" s="35" t="s">
        <v>976</v>
      </c>
      <c r="W29" s="35" t="s">
        <v>972</v>
      </c>
      <c r="X29" s="35" t="s">
        <v>1757</v>
      </c>
      <c r="Y29" s="35" t="s">
        <v>990</v>
      </c>
      <c r="Z29" s="35" t="s">
        <v>1929</v>
      </c>
      <c r="AA29" s="35" t="s">
        <v>1779</v>
      </c>
    </row>
    <row r="30" spans="1:27" ht="63.75" x14ac:dyDescent="0.2">
      <c r="A30" s="34" t="s">
        <v>917</v>
      </c>
      <c r="B30" s="35" t="s">
        <v>972</v>
      </c>
      <c r="C30" s="35" t="s">
        <v>1744</v>
      </c>
      <c r="F30" s="35" t="s">
        <v>976</v>
      </c>
      <c r="H30" s="35" t="s">
        <v>3676</v>
      </c>
      <c r="J30" s="35" t="s">
        <v>1770</v>
      </c>
      <c r="L30" s="35" t="s">
        <v>976</v>
      </c>
      <c r="N30" s="35" t="s">
        <v>972</v>
      </c>
      <c r="O30" s="35" t="s">
        <v>976</v>
      </c>
      <c r="Q30" s="35" t="s">
        <v>972</v>
      </c>
      <c r="R30" s="35" t="s">
        <v>1771</v>
      </c>
      <c r="S30" s="35" t="s">
        <v>1746</v>
      </c>
      <c r="U30" s="35" t="s">
        <v>1772</v>
      </c>
      <c r="V30" s="35" t="s">
        <v>976</v>
      </c>
      <c r="W30" s="35" t="s">
        <v>972</v>
      </c>
      <c r="X30" s="35" t="s">
        <v>1752</v>
      </c>
      <c r="Y30" s="35" t="s">
        <v>1773</v>
      </c>
      <c r="AA30" s="35" t="s">
        <v>1537</v>
      </c>
    </row>
    <row r="31" spans="1:27" ht="63.75" x14ac:dyDescent="0.2">
      <c r="A31" s="34" t="s">
        <v>923</v>
      </c>
      <c r="B31" s="35" t="s">
        <v>972</v>
      </c>
      <c r="C31" s="35" t="s">
        <v>1744</v>
      </c>
      <c r="D31" s="35">
        <v>6</v>
      </c>
      <c r="F31" s="35" t="s">
        <v>976</v>
      </c>
      <c r="H31" s="35" t="s">
        <v>3676</v>
      </c>
      <c r="J31" s="35" t="s">
        <v>3690</v>
      </c>
      <c r="L31" s="35" t="s">
        <v>976</v>
      </c>
      <c r="N31" s="35" t="s">
        <v>972</v>
      </c>
      <c r="O31" s="35" t="s">
        <v>976</v>
      </c>
      <c r="Q31" s="35" t="s">
        <v>972</v>
      </c>
      <c r="R31" s="35" t="s">
        <v>1793</v>
      </c>
      <c r="S31" s="35" t="s">
        <v>1776</v>
      </c>
      <c r="V31" s="35" t="s">
        <v>976</v>
      </c>
      <c r="W31" s="35" t="s">
        <v>972</v>
      </c>
      <c r="Y31" s="35" t="s">
        <v>1773</v>
      </c>
      <c r="AA31" s="35" t="s">
        <v>1779</v>
      </c>
    </row>
    <row r="32" spans="1:27" ht="51" x14ac:dyDescent="0.2">
      <c r="A32" s="34" t="s">
        <v>935</v>
      </c>
      <c r="B32" s="35" t="s">
        <v>972</v>
      </c>
      <c r="C32" s="35" t="s">
        <v>1754</v>
      </c>
      <c r="E32" s="35">
        <v>12</v>
      </c>
      <c r="F32" s="35" t="s">
        <v>976</v>
      </c>
      <c r="H32" s="35" t="s">
        <v>1831</v>
      </c>
      <c r="J32" s="35" t="s">
        <v>3689</v>
      </c>
      <c r="L32" s="35" t="s">
        <v>976</v>
      </c>
      <c r="N32" s="35" t="s">
        <v>976</v>
      </c>
      <c r="O32" s="35" t="s">
        <v>976</v>
      </c>
      <c r="Q32" s="35" t="s">
        <v>972</v>
      </c>
      <c r="R32" s="35" t="s">
        <v>1832</v>
      </c>
      <c r="V32" s="35" t="s">
        <v>976</v>
      </c>
      <c r="W32" s="35" t="s">
        <v>972</v>
      </c>
      <c r="X32" s="35" t="s">
        <v>1752</v>
      </c>
      <c r="Y32" s="35" t="s">
        <v>1773</v>
      </c>
      <c r="AA32" s="35" t="s">
        <v>1833</v>
      </c>
    </row>
    <row r="33" spans="1:27" ht="51" x14ac:dyDescent="0.2">
      <c r="A33" s="34" t="s">
        <v>915</v>
      </c>
      <c r="B33" s="35" t="s">
        <v>972</v>
      </c>
      <c r="C33" s="35" t="s">
        <v>1754</v>
      </c>
      <c r="E33" s="35">
        <v>6</v>
      </c>
      <c r="F33" s="35" t="s">
        <v>972</v>
      </c>
      <c r="G33" s="35" t="s">
        <v>1759</v>
      </c>
      <c r="H33" s="35" t="s">
        <v>1760</v>
      </c>
      <c r="J33" s="35" t="s">
        <v>3689</v>
      </c>
      <c r="L33" s="35" t="s">
        <v>976</v>
      </c>
      <c r="N33" s="35" t="s">
        <v>976</v>
      </c>
      <c r="O33" s="35" t="s">
        <v>972</v>
      </c>
      <c r="P33" s="35" t="s">
        <v>1761</v>
      </c>
      <c r="Q33" s="35" t="s">
        <v>972</v>
      </c>
      <c r="R33" s="35" t="s">
        <v>1762</v>
      </c>
      <c r="S33" s="35" t="s">
        <v>1746</v>
      </c>
      <c r="U33" s="35" t="s">
        <v>1763</v>
      </c>
      <c r="V33" s="35" t="s">
        <v>976</v>
      </c>
      <c r="W33" s="35" t="s">
        <v>976</v>
      </c>
      <c r="AA33" s="35" t="s">
        <v>1764</v>
      </c>
    </row>
    <row r="34" spans="1:27" ht="63.75" x14ac:dyDescent="0.2">
      <c r="A34" s="34" t="s">
        <v>945</v>
      </c>
      <c r="B34" s="35" t="s">
        <v>972</v>
      </c>
      <c r="C34" s="35" t="s">
        <v>1744</v>
      </c>
      <c r="D34" s="35">
        <v>7</v>
      </c>
      <c r="F34" s="35" t="s">
        <v>972</v>
      </c>
      <c r="G34" s="35" t="s">
        <v>1865</v>
      </c>
      <c r="H34" s="35" t="s">
        <v>3676</v>
      </c>
      <c r="J34" s="35" t="s">
        <v>3689</v>
      </c>
      <c r="L34" s="35" t="s">
        <v>972</v>
      </c>
      <c r="M34" s="35">
        <v>1</v>
      </c>
      <c r="N34" s="35" t="s">
        <v>972</v>
      </c>
      <c r="O34" s="35" t="s">
        <v>972</v>
      </c>
      <c r="P34" s="35" t="s">
        <v>1866</v>
      </c>
      <c r="Q34" s="35" t="s">
        <v>972</v>
      </c>
      <c r="R34" s="35" t="s">
        <v>1867</v>
      </c>
      <c r="S34" s="35" t="s">
        <v>1746</v>
      </c>
      <c r="U34" s="35" t="s">
        <v>1868</v>
      </c>
      <c r="V34" s="35" t="s">
        <v>976</v>
      </c>
      <c r="W34" s="35" t="s">
        <v>972</v>
      </c>
      <c r="X34" s="35" t="s">
        <v>1757</v>
      </c>
      <c r="Y34" s="35" t="s">
        <v>990</v>
      </c>
      <c r="Z34" s="35" t="s">
        <v>1869</v>
      </c>
      <c r="AA34" s="35" t="s">
        <v>1779</v>
      </c>
    </row>
    <row r="35" spans="1:27" ht="76.5" x14ac:dyDescent="0.2">
      <c r="A35" s="34" t="s">
        <v>924</v>
      </c>
      <c r="B35" s="35" t="s">
        <v>972</v>
      </c>
      <c r="C35" s="35" t="s">
        <v>1744</v>
      </c>
      <c r="D35" s="35">
        <v>6</v>
      </c>
      <c r="F35" s="35" t="s">
        <v>976</v>
      </c>
      <c r="H35" s="35" t="s">
        <v>3676</v>
      </c>
      <c r="J35" s="35" t="s">
        <v>3689</v>
      </c>
      <c r="L35" s="35" t="s">
        <v>976</v>
      </c>
      <c r="N35" s="35" t="s">
        <v>972</v>
      </c>
      <c r="O35" s="35" t="s">
        <v>972</v>
      </c>
      <c r="P35" s="35" t="s">
        <v>1794</v>
      </c>
      <c r="Q35" s="35" t="s">
        <v>972</v>
      </c>
      <c r="R35" s="35" t="s">
        <v>1795</v>
      </c>
      <c r="S35" s="35" t="s">
        <v>990</v>
      </c>
      <c r="T35" s="35" t="s">
        <v>1796</v>
      </c>
      <c r="U35" s="35" t="s">
        <v>1797</v>
      </c>
      <c r="V35" s="35" t="s">
        <v>976</v>
      </c>
      <c r="W35" s="35" t="s">
        <v>972</v>
      </c>
      <c r="X35" s="35" t="s">
        <v>1757</v>
      </c>
      <c r="Y35" s="35" t="s">
        <v>990</v>
      </c>
      <c r="Z35" s="35" t="s">
        <v>1798</v>
      </c>
      <c r="AA35" s="35" t="s">
        <v>1799</v>
      </c>
    </row>
    <row r="36" spans="1:27" ht="63.75" x14ac:dyDescent="0.2">
      <c r="A36" s="34" t="s">
        <v>925</v>
      </c>
      <c r="B36" s="35" t="s">
        <v>972</v>
      </c>
      <c r="C36" s="35" t="s">
        <v>1744</v>
      </c>
      <c r="D36" s="35">
        <v>6</v>
      </c>
      <c r="F36" s="35" t="s">
        <v>976</v>
      </c>
      <c r="H36" s="35" t="s">
        <v>3676</v>
      </c>
      <c r="J36" s="35" t="s">
        <v>3689</v>
      </c>
      <c r="L36" s="35" t="s">
        <v>976</v>
      </c>
      <c r="N36" s="35" t="s">
        <v>976</v>
      </c>
      <c r="O36" s="35" t="s">
        <v>976</v>
      </c>
      <c r="Q36" s="35" t="s">
        <v>972</v>
      </c>
      <c r="R36" s="35" t="s">
        <v>1800</v>
      </c>
      <c r="S36" s="35" t="s">
        <v>1746</v>
      </c>
      <c r="V36" s="35" t="s">
        <v>976</v>
      </c>
      <c r="W36" s="35" t="s">
        <v>972</v>
      </c>
      <c r="X36" s="35" t="s">
        <v>1757</v>
      </c>
      <c r="Y36" s="35" t="s">
        <v>1758</v>
      </c>
      <c r="AA36" s="35" t="s">
        <v>1799</v>
      </c>
    </row>
    <row r="37" spans="1:27" ht="63.75" x14ac:dyDescent="0.2">
      <c r="A37" s="34" t="s">
        <v>3376</v>
      </c>
      <c r="B37" s="35" t="s">
        <v>972</v>
      </c>
      <c r="C37" s="35" t="s">
        <v>1744</v>
      </c>
      <c r="F37" s="35" t="s">
        <v>976</v>
      </c>
      <c r="H37" s="35" t="s">
        <v>3676</v>
      </c>
      <c r="J37" s="35" t="s">
        <v>1806</v>
      </c>
      <c r="L37" s="35" t="s">
        <v>972</v>
      </c>
      <c r="N37" s="35" t="s">
        <v>972</v>
      </c>
      <c r="O37" s="35" t="s">
        <v>972</v>
      </c>
      <c r="P37" s="35" t="s">
        <v>3388</v>
      </c>
      <c r="Q37" s="35" t="s">
        <v>972</v>
      </c>
      <c r="R37" s="35" t="s">
        <v>3389</v>
      </c>
      <c r="S37" s="35" t="s">
        <v>1746</v>
      </c>
      <c r="U37" s="35" t="s">
        <v>3390</v>
      </c>
      <c r="V37" s="35" t="s">
        <v>972</v>
      </c>
      <c r="W37" s="35" t="s">
        <v>972</v>
      </c>
      <c r="X37" s="35" t="s">
        <v>1822</v>
      </c>
      <c r="Y37" s="35" t="s">
        <v>1758</v>
      </c>
      <c r="AA37" s="35" t="s">
        <v>3391</v>
      </c>
    </row>
    <row r="38" spans="1:27" ht="51" x14ac:dyDescent="0.2">
      <c r="A38" s="34" t="s">
        <v>952</v>
      </c>
      <c r="B38" s="35" t="s">
        <v>972</v>
      </c>
      <c r="C38" s="35" t="s">
        <v>1744</v>
      </c>
      <c r="D38" s="35">
        <v>6</v>
      </c>
      <c r="F38" s="35" t="s">
        <v>976</v>
      </c>
      <c r="H38" s="35" t="s">
        <v>3688</v>
      </c>
      <c r="J38" s="35" t="s">
        <v>1806</v>
      </c>
      <c r="L38" s="35" t="s">
        <v>976</v>
      </c>
      <c r="N38" s="35" t="s">
        <v>976</v>
      </c>
      <c r="O38" s="35" t="s">
        <v>976</v>
      </c>
      <c r="Q38" s="35" t="s">
        <v>972</v>
      </c>
      <c r="R38" s="35" t="s">
        <v>1892</v>
      </c>
      <c r="S38" s="35" t="s">
        <v>990</v>
      </c>
      <c r="T38" s="35" t="s">
        <v>1893</v>
      </c>
      <c r="V38" s="35" t="s">
        <v>976</v>
      </c>
      <c r="W38" s="35" t="s">
        <v>972</v>
      </c>
      <c r="X38" s="35" t="s">
        <v>1757</v>
      </c>
      <c r="Y38" s="35" t="s">
        <v>990</v>
      </c>
      <c r="Z38" s="35" t="s">
        <v>1894</v>
      </c>
      <c r="AA38" s="35" t="s">
        <v>1895</v>
      </c>
    </row>
    <row r="39" spans="1:27" ht="38.25" x14ac:dyDescent="0.2">
      <c r="A39" s="34" t="s">
        <v>921</v>
      </c>
      <c r="B39" s="35" t="s">
        <v>972</v>
      </c>
      <c r="C39" s="35" t="s">
        <v>1744</v>
      </c>
      <c r="H39" s="35" t="s">
        <v>3683</v>
      </c>
      <c r="J39" s="35" t="s">
        <v>3692</v>
      </c>
      <c r="L39" s="35" t="s">
        <v>976</v>
      </c>
      <c r="N39" s="35" t="s">
        <v>976</v>
      </c>
      <c r="O39" s="35" t="s">
        <v>976</v>
      </c>
      <c r="Q39" s="35" t="s">
        <v>972</v>
      </c>
      <c r="R39" s="35" t="s">
        <v>1789</v>
      </c>
      <c r="V39" s="35" t="s">
        <v>976</v>
      </c>
      <c r="W39" s="35" t="s">
        <v>972</v>
      </c>
      <c r="X39" s="35" t="s">
        <v>1757</v>
      </c>
      <c r="AA39" s="35" t="s">
        <v>1790</v>
      </c>
    </row>
    <row r="40" spans="1:27" ht="51" x14ac:dyDescent="0.2">
      <c r="A40" s="34" t="s">
        <v>958</v>
      </c>
      <c r="B40" s="35" t="s">
        <v>972</v>
      </c>
      <c r="C40" s="35" t="s">
        <v>1744</v>
      </c>
      <c r="D40" s="35">
        <v>6</v>
      </c>
      <c r="F40" s="35" t="s">
        <v>976</v>
      </c>
      <c r="H40" s="35" t="s">
        <v>1905</v>
      </c>
      <c r="J40" s="35" t="s">
        <v>3689</v>
      </c>
      <c r="L40" s="35" t="s">
        <v>1023</v>
      </c>
      <c r="N40" s="35" t="s">
        <v>976</v>
      </c>
      <c r="O40" s="35" t="s">
        <v>976</v>
      </c>
      <c r="Q40" s="35" t="s">
        <v>972</v>
      </c>
      <c r="R40" s="35" t="s">
        <v>1906</v>
      </c>
      <c r="S40" s="35" t="s">
        <v>1746</v>
      </c>
      <c r="V40" s="35" t="s">
        <v>976</v>
      </c>
      <c r="W40" s="35" t="s">
        <v>972</v>
      </c>
      <c r="X40" s="35" t="s">
        <v>1757</v>
      </c>
      <c r="Y40" s="35" t="s">
        <v>1758</v>
      </c>
      <c r="AA40" s="35" t="s">
        <v>1880</v>
      </c>
    </row>
    <row r="41" spans="1:27" ht="63.75" x14ac:dyDescent="0.2">
      <c r="A41" s="34" t="s">
        <v>962</v>
      </c>
      <c r="B41" s="35" t="s">
        <v>972</v>
      </c>
      <c r="C41" s="35" t="s">
        <v>1754</v>
      </c>
      <c r="E41" s="35">
        <v>6</v>
      </c>
      <c r="F41" s="35" t="s">
        <v>976</v>
      </c>
      <c r="H41" s="35" t="s">
        <v>3676</v>
      </c>
      <c r="J41" s="35" t="s">
        <v>3689</v>
      </c>
      <c r="L41" s="35" t="s">
        <v>976</v>
      </c>
      <c r="N41" s="35" t="s">
        <v>976</v>
      </c>
      <c r="O41" s="35" t="s">
        <v>976</v>
      </c>
      <c r="Q41" s="35" t="s">
        <v>972</v>
      </c>
      <c r="R41" s="35" t="s">
        <v>1914</v>
      </c>
      <c r="S41" s="35" t="s">
        <v>1746</v>
      </c>
      <c r="U41" s="35" t="s">
        <v>1915</v>
      </c>
      <c r="V41" s="35" t="s">
        <v>976</v>
      </c>
      <c r="W41" s="35" t="s">
        <v>972</v>
      </c>
      <c r="X41" s="35" t="s">
        <v>1757</v>
      </c>
      <c r="Y41" s="35" t="s">
        <v>990</v>
      </c>
      <c r="Z41" s="35" t="s">
        <v>1827</v>
      </c>
      <c r="AA41" s="35" t="s">
        <v>1300</v>
      </c>
    </row>
    <row r="42" spans="1:27" ht="38.25" x14ac:dyDescent="0.2">
      <c r="A42" s="34" t="s">
        <v>957</v>
      </c>
      <c r="B42" s="35" t="s">
        <v>972</v>
      </c>
      <c r="C42" s="35" t="s">
        <v>1744</v>
      </c>
      <c r="F42" s="35" t="s">
        <v>976</v>
      </c>
      <c r="H42" s="35" t="s">
        <v>1901</v>
      </c>
      <c r="J42" s="35" t="s">
        <v>1862</v>
      </c>
      <c r="L42" s="35" t="s">
        <v>972</v>
      </c>
      <c r="M42" s="35">
        <v>10</v>
      </c>
      <c r="N42" s="35" t="s">
        <v>976</v>
      </c>
      <c r="O42" s="35" t="s">
        <v>976</v>
      </c>
      <c r="Q42" s="35" t="s">
        <v>972</v>
      </c>
      <c r="R42" s="35" t="s">
        <v>1902</v>
      </c>
      <c r="S42" s="35" t="s">
        <v>1746</v>
      </c>
      <c r="V42" s="35" t="s">
        <v>976</v>
      </c>
      <c r="W42" s="35" t="s">
        <v>972</v>
      </c>
      <c r="X42" s="35" t="s">
        <v>1752</v>
      </c>
      <c r="Y42" s="35" t="s">
        <v>990</v>
      </c>
      <c r="Z42" s="35" t="s">
        <v>1903</v>
      </c>
      <c r="AA42" s="35" t="s">
        <v>1904</v>
      </c>
    </row>
    <row r="43" spans="1:27" ht="51" x14ac:dyDescent="0.2">
      <c r="A43" s="34" t="s">
        <v>918</v>
      </c>
      <c r="B43" s="35" t="s">
        <v>972</v>
      </c>
      <c r="C43" s="35" t="s">
        <v>1754</v>
      </c>
      <c r="E43" s="35">
        <v>5</v>
      </c>
      <c r="F43" s="35" t="s">
        <v>976</v>
      </c>
      <c r="H43" s="35" t="s">
        <v>3685</v>
      </c>
      <c r="I43" s="35" t="s">
        <v>1774</v>
      </c>
      <c r="J43" s="35" t="s">
        <v>1770</v>
      </c>
      <c r="L43" s="35" t="s">
        <v>976</v>
      </c>
      <c r="N43" s="35" t="s">
        <v>976</v>
      </c>
      <c r="O43" s="35" t="s">
        <v>976</v>
      </c>
      <c r="Q43" s="35" t="s">
        <v>972</v>
      </c>
      <c r="R43" s="35" t="s">
        <v>1775</v>
      </c>
      <c r="S43" s="35" t="s">
        <v>1776</v>
      </c>
      <c r="U43" s="35" t="s">
        <v>1777</v>
      </c>
      <c r="V43" s="35" t="s">
        <v>976</v>
      </c>
      <c r="W43" s="35" t="s">
        <v>972</v>
      </c>
      <c r="X43" s="35" t="s">
        <v>1757</v>
      </c>
      <c r="Y43" s="35" t="s">
        <v>990</v>
      </c>
      <c r="Z43" s="35" t="s">
        <v>1778</v>
      </c>
      <c r="AA43" s="35" t="s">
        <v>1779</v>
      </c>
    </row>
    <row r="44" spans="1:27" ht="63.75" x14ac:dyDescent="0.2">
      <c r="A44" s="34" t="s">
        <v>965</v>
      </c>
      <c r="B44" s="35" t="s">
        <v>972</v>
      </c>
      <c r="C44" s="35" t="s">
        <v>1744</v>
      </c>
      <c r="D44" s="35">
        <v>6</v>
      </c>
      <c r="F44" s="35" t="s">
        <v>976</v>
      </c>
      <c r="H44" s="35" t="s">
        <v>3676</v>
      </c>
      <c r="J44" s="35" t="s">
        <v>3693</v>
      </c>
      <c r="L44" s="35" t="s">
        <v>976</v>
      </c>
      <c r="N44" s="35" t="s">
        <v>972</v>
      </c>
      <c r="O44" s="35" t="s">
        <v>972</v>
      </c>
      <c r="P44" s="35" t="s">
        <v>3697</v>
      </c>
      <c r="Q44" s="35" t="s">
        <v>972</v>
      </c>
      <c r="R44" s="35" t="s">
        <v>1924</v>
      </c>
      <c r="S44" s="35" t="s">
        <v>1746</v>
      </c>
      <c r="U44" s="35" t="s">
        <v>1925</v>
      </c>
      <c r="V44" s="35" t="s">
        <v>976</v>
      </c>
      <c r="W44" s="35" t="s">
        <v>972</v>
      </c>
      <c r="X44" s="35" t="s">
        <v>1757</v>
      </c>
      <c r="Y44" s="35" t="s">
        <v>990</v>
      </c>
      <c r="Z44" s="35" t="s">
        <v>1926</v>
      </c>
      <c r="AA44" s="35" t="s">
        <v>1858</v>
      </c>
    </row>
    <row r="45" spans="1:27" ht="51" x14ac:dyDescent="0.2">
      <c r="A45" s="34" t="s">
        <v>942</v>
      </c>
      <c r="B45" s="35" t="s">
        <v>972</v>
      </c>
      <c r="C45" s="35" t="s">
        <v>1744</v>
      </c>
      <c r="D45" s="35">
        <v>5</v>
      </c>
      <c r="F45" s="35" t="s">
        <v>976</v>
      </c>
      <c r="H45" s="35" t="s">
        <v>1781</v>
      </c>
      <c r="J45" s="35" t="s">
        <v>1765</v>
      </c>
      <c r="L45" s="35" t="s">
        <v>976</v>
      </c>
      <c r="N45" s="35" t="s">
        <v>976</v>
      </c>
      <c r="O45" s="35" t="s">
        <v>972</v>
      </c>
      <c r="P45" s="35" t="s">
        <v>1854</v>
      </c>
      <c r="Q45" s="35" t="s">
        <v>972</v>
      </c>
      <c r="R45" s="35" t="s">
        <v>1855</v>
      </c>
      <c r="S45" s="35" t="s">
        <v>1746</v>
      </c>
      <c r="U45" s="35" t="s">
        <v>1856</v>
      </c>
      <c r="V45" s="35" t="s">
        <v>976</v>
      </c>
      <c r="W45" s="35" t="s">
        <v>972</v>
      </c>
      <c r="X45" s="35" t="s">
        <v>1757</v>
      </c>
      <c r="Y45" s="35" t="s">
        <v>990</v>
      </c>
      <c r="Z45" s="35" t="s">
        <v>1857</v>
      </c>
      <c r="AA45" s="35" t="s">
        <v>1858</v>
      </c>
    </row>
    <row r="46" spans="1:27" ht="63.75" x14ac:dyDescent="0.2">
      <c r="A46" s="34" t="s">
        <v>955</v>
      </c>
      <c r="B46" s="35" t="s">
        <v>972</v>
      </c>
      <c r="C46" s="35" t="s">
        <v>1754</v>
      </c>
      <c r="E46" s="35">
        <v>8</v>
      </c>
      <c r="F46" s="35" t="s">
        <v>976</v>
      </c>
      <c r="H46" s="35" t="s">
        <v>3676</v>
      </c>
      <c r="J46" s="35" t="s">
        <v>3689</v>
      </c>
      <c r="L46" s="35" t="s">
        <v>976</v>
      </c>
      <c r="N46" s="35" t="s">
        <v>976</v>
      </c>
      <c r="O46" s="35" t="s">
        <v>972</v>
      </c>
      <c r="P46" s="35" t="s">
        <v>1899</v>
      </c>
      <c r="Q46" s="35" t="s">
        <v>972</v>
      </c>
      <c r="R46" s="35" t="s">
        <v>1900</v>
      </c>
      <c r="S46" s="35" t="s">
        <v>1746</v>
      </c>
      <c r="V46" s="35" t="s">
        <v>976</v>
      </c>
      <c r="W46" s="35" t="s">
        <v>972</v>
      </c>
      <c r="X46" s="35" t="s">
        <v>1757</v>
      </c>
      <c r="Y46" s="35" t="s">
        <v>990</v>
      </c>
      <c r="Z46" s="35" t="s">
        <v>1827</v>
      </c>
      <c r="AA46" s="35" t="s">
        <v>1897</v>
      </c>
    </row>
    <row r="47" spans="1:27" ht="38.25" x14ac:dyDescent="0.2">
      <c r="A47" s="34" t="s">
        <v>967</v>
      </c>
      <c r="B47" s="35" t="s">
        <v>972</v>
      </c>
      <c r="C47" s="35" t="s">
        <v>1754</v>
      </c>
      <c r="E47" s="35">
        <v>36</v>
      </c>
      <c r="F47" s="35" t="s">
        <v>972</v>
      </c>
      <c r="G47" s="35" t="s">
        <v>1930</v>
      </c>
      <c r="H47" s="35" t="s">
        <v>1931</v>
      </c>
      <c r="J47" s="35" t="s">
        <v>1862</v>
      </c>
      <c r="L47" s="35" t="s">
        <v>976</v>
      </c>
      <c r="N47" s="35" t="s">
        <v>972</v>
      </c>
      <c r="O47" s="35" t="s">
        <v>976</v>
      </c>
      <c r="Q47" s="35" t="s">
        <v>972</v>
      </c>
      <c r="R47" s="35" t="s">
        <v>1932</v>
      </c>
      <c r="S47" s="35" t="s">
        <v>1746</v>
      </c>
      <c r="U47" s="35" t="s">
        <v>1933</v>
      </c>
      <c r="V47" s="35" t="s">
        <v>976</v>
      </c>
      <c r="W47" s="35" t="s">
        <v>972</v>
      </c>
      <c r="X47" s="35" t="s">
        <v>1752</v>
      </c>
      <c r="Y47" s="35" t="s">
        <v>1758</v>
      </c>
      <c r="AA47" s="35" t="s">
        <v>1740</v>
      </c>
    </row>
    <row r="48" spans="1:27" ht="76.5" x14ac:dyDescent="0.2">
      <c r="A48" s="34" t="s">
        <v>964</v>
      </c>
      <c r="B48" s="35" t="s">
        <v>972</v>
      </c>
      <c r="C48" s="35" t="s">
        <v>1744</v>
      </c>
      <c r="D48" s="35">
        <v>25</v>
      </c>
      <c r="F48" s="35" t="s">
        <v>972</v>
      </c>
      <c r="G48" s="35" t="s">
        <v>1918</v>
      </c>
      <c r="H48" s="35" t="s">
        <v>3676</v>
      </c>
      <c r="J48" s="35" t="s">
        <v>3695</v>
      </c>
      <c r="K48" s="35" t="s">
        <v>1919</v>
      </c>
      <c r="L48" s="35" t="s">
        <v>976</v>
      </c>
      <c r="N48" s="35" t="s">
        <v>972</v>
      </c>
      <c r="O48" s="35" t="s">
        <v>976</v>
      </c>
      <c r="Q48" s="35" t="s">
        <v>972</v>
      </c>
      <c r="R48" s="35" t="s">
        <v>1920</v>
      </c>
      <c r="S48" s="35" t="s">
        <v>990</v>
      </c>
      <c r="T48" s="35" t="s">
        <v>1921</v>
      </c>
      <c r="U48" s="35" t="s">
        <v>1922</v>
      </c>
      <c r="V48" s="35" t="s">
        <v>976</v>
      </c>
      <c r="W48" s="35" t="s">
        <v>972</v>
      </c>
      <c r="X48" s="35" t="s">
        <v>1757</v>
      </c>
      <c r="Y48" s="35" t="s">
        <v>1773</v>
      </c>
      <c r="AA48" s="35" t="s">
        <v>1923</v>
      </c>
    </row>
    <row r="49" spans="1:27" ht="51" x14ac:dyDescent="0.2">
      <c r="A49" s="34" t="s">
        <v>951</v>
      </c>
      <c r="B49" s="35" t="s">
        <v>972</v>
      </c>
      <c r="C49" s="35" t="s">
        <v>1754</v>
      </c>
      <c r="F49" s="35" t="s">
        <v>976</v>
      </c>
      <c r="H49" s="35" t="s">
        <v>1890</v>
      </c>
      <c r="J49" s="35" t="s">
        <v>1785</v>
      </c>
      <c r="L49" s="35" t="s">
        <v>976</v>
      </c>
      <c r="N49" s="35" t="s">
        <v>976</v>
      </c>
      <c r="O49" s="35" t="s">
        <v>976</v>
      </c>
      <c r="Q49" s="35" t="s">
        <v>972</v>
      </c>
      <c r="R49" s="35" t="s">
        <v>1891</v>
      </c>
      <c r="V49" s="35" t="s">
        <v>976</v>
      </c>
      <c r="W49" s="35" t="s">
        <v>972</v>
      </c>
      <c r="X49" s="35" t="s">
        <v>1747</v>
      </c>
      <c r="Y49" s="35" t="s">
        <v>1758</v>
      </c>
      <c r="AA49" s="35" t="s">
        <v>1779</v>
      </c>
    </row>
    <row r="50" spans="1:27" ht="51" x14ac:dyDescent="0.2">
      <c r="A50" s="34" t="s">
        <v>954</v>
      </c>
      <c r="B50" s="35" t="s">
        <v>972</v>
      </c>
      <c r="C50" s="35" t="s">
        <v>1744</v>
      </c>
      <c r="D50" s="35">
        <v>5</v>
      </c>
      <c r="F50" s="35" t="s">
        <v>976</v>
      </c>
      <c r="H50" s="35" t="s">
        <v>1781</v>
      </c>
      <c r="J50" s="35" t="s">
        <v>1898</v>
      </c>
      <c r="L50" s="35" t="s">
        <v>976</v>
      </c>
      <c r="N50" s="35" t="s">
        <v>976</v>
      </c>
      <c r="O50" s="35" t="s">
        <v>976</v>
      </c>
      <c r="Q50" s="35" t="s">
        <v>972</v>
      </c>
      <c r="S50" s="35" t="s">
        <v>1746</v>
      </c>
      <c r="V50" s="35" t="s">
        <v>976</v>
      </c>
      <c r="W50" s="35" t="s">
        <v>976</v>
      </c>
      <c r="AA50" s="35" t="s">
        <v>1769</v>
      </c>
    </row>
    <row r="51" spans="1:27" ht="63.75" x14ac:dyDescent="0.2">
      <c r="A51" s="34" t="s">
        <v>944</v>
      </c>
      <c r="B51" s="35" t="s">
        <v>972</v>
      </c>
      <c r="C51" s="35" t="s">
        <v>1754</v>
      </c>
      <c r="E51" s="35">
        <v>7</v>
      </c>
      <c r="F51" s="35" t="s">
        <v>972</v>
      </c>
      <c r="G51" s="35" t="s">
        <v>1861</v>
      </c>
      <c r="H51" s="35" t="s">
        <v>3676</v>
      </c>
      <c r="J51" s="35" t="s">
        <v>1862</v>
      </c>
      <c r="L51" s="35" t="s">
        <v>976</v>
      </c>
      <c r="N51" s="35" t="s">
        <v>972</v>
      </c>
      <c r="O51" s="35" t="s">
        <v>976</v>
      </c>
      <c r="Q51" s="35" t="s">
        <v>972</v>
      </c>
      <c r="R51" s="35" t="s">
        <v>1863</v>
      </c>
      <c r="S51" s="35" t="s">
        <v>1746</v>
      </c>
      <c r="U51" s="35" t="s">
        <v>1864</v>
      </c>
      <c r="V51" s="35" t="s">
        <v>976</v>
      </c>
      <c r="W51" s="35" t="s">
        <v>972</v>
      </c>
      <c r="X51" s="35" t="s">
        <v>1752</v>
      </c>
      <c r="AA51" s="35" t="s">
        <v>1779</v>
      </c>
    </row>
    <row r="52" spans="1:27" ht="76.5" x14ac:dyDescent="0.2">
      <c r="A52" s="34" t="s">
        <v>950</v>
      </c>
      <c r="B52" s="35" t="s">
        <v>972</v>
      </c>
      <c r="C52" s="35" t="s">
        <v>1744</v>
      </c>
      <c r="D52" s="35">
        <v>5</v>
      </c>
      <c r="F52" s="35" t="s">
        <v>972</v>
      </c>
      <c r="G52" s="35" t="s">
        <v>1884</v>
      </c>
      <c r="H52" s="35" t="s">
        <v>3676</v>
      </c>
      <c r="J52" s="35" t="s">
        <v>3696</v>
      </c>
      <c r="K52" s="35" t="s">
        <v>1885</v>
      </c>
      <c r="L52" s="35" t="s">
        <v>976</v>
      </c>
      <c r="N52" s="35" t="s">
        <v>972</v>
      </c>
      <c r="O52" s="35" t="s">
        <v>972</v>
      </c>
      <c r="P52" s="35" t="s">
        <v>1886</v>
      </c>
      <c r="Q52" s="35" t="s">
        <v>972</v>
      </c>
      <c r="R52" s="35" t="s">
        <v>1887</v>
      </c>
      <c r="S52" s="35" t="s">
        <v>1746</v>
      </c>
      <c r="U52" s="35" t="s">
        <v>1888</v>
      </c>
      <c r="V52" s="35" t="s">
        <v>976</v>
      </c>
      <c r="W52" s="35" t="s">
        <v>972</v>
      </c>
      <c r="X52" s="35" t="s">
        <v>1757</v>
      </c>
      <c r="Y52" s="35" t="s">
        <v>990</v>
      </c>
      <c r="Z52" s="35" t="s">
        <v>1889</v>
      </c>
      <c r="AA52" s="35" t="s">
        <v>1858</v>
      </c>
    </row>
    <row r="53" spans="1:27" ht="63.75" x14ac:dyDescent="0.2">
      <c r="A53" s="34" t="s">
        <v>940</v>
      </c>
      <c r="B53" s="35" t="s">
        <v>972</v>
      </c>
      <c r="C53" s="35" t="s">
        <v>1754</v>
      </c>
      <c r="E53" s="35">
        <v>10</v>
      </c>
      <c r="F53" s="35" t="s">
        <v>976</v>
      </c>
      <c r="H53" s="35" t="s">
        <v>3676</v>
      </c>
      <c r="J53" s="35" t="s">
        <v>3689</v>
      </c>
      <c r="L53" s="35" t="s">
        <v>976</v>
      </c>
      <c r="N53" s="35" t="s">
        <v>976</v>
      </c>
      <c r="O53" s="35" t="s">
        <v>976</v>
      </c>
      <c r="Q53" s="35" t="s">
        <v>972</v>
      </c>
      <c r="R53" s="35" t="s">
        <v>1846</v>
      </c>
      <c r="S53" s="35" t="s">
        <v>990</v>
      </c>
      <c r="U53" s="35" t="s">
        <v>1847</v>
      </c>
      <c r="V53" s="35" t="s">
        <v>976</v>
      </c>
      <c r="W53" s="35" t="s">
        <v>972</v>
      </c>
      <c r="X53" s="35" t="s">
        <v>1752</v>
      </c>
      <c r="Y53" s="35" t="s">
        <v>990</v>
      </c>
      <c r="Z53" s="35" t="s">
        <v>1848</v>
      </c>
      <c r="AA53" s="35" t="s">
        <v>1779</v>
      </c>
    </row>
    <row r="54" spans="1:27" ht="63.75" x14ac:dyDescent="0.2">
      <c r="A54" s="34" t="s">
        <v>960</v>
      </c>
      <c r="B54" s="35" t="s">
        <v>972</v>
      </c>
      <c r="C54" s="35" t="s">
        <v>1754</v>
      </c>
      <c r="E54" s="35">
        <v>12</v>
      </c>
      <c r="F54" s="35" t="s">
        <v>976</v>
      </c>
      <c r="H54" s="35" t="s">
        <v>3676</v>
      </c>
      <c r="J54" s="35" t="s">
        <v>3694</v>
      </c>
      <c r="L54" s="35" t="s">
        <v>976</v>
      </c>
      <c r="N54" s="35" t="s">
        <v>976</v>
      </c>
      <c r="O54" s="35" t="s">
        <v>972</v>
      </c>
      <c r="P54" s="35" t="s">
        <v>1910</v>
      </c>
      <c r="Q54" s="35" t="s">
        <v>972</v>
      </c>
      <c r="R54" s="35" t="s">
        <v>1911</v>
      </c>
      <c r="S54" s="35" t="s">
        <v>1746</v>
      </c>
      <c r="U54" s="35" t="s">
        <v>1912</v>
      </c>
      <c r="V54" s="35" t="s">
        <v>976</v>
      </c>
      <c r="W54" s="35" t="s">
        <v>972</v>
      </c>
      <c r="X54" s="35" t="s">
        <v>1747</v>
      </c>
      <c r="AA54" s="35" t="s">
        <v>1779</v>
      </c>
    </row>
    <row r="55" spans="1:27" ht="51" x14ac:dyDescent="0.2">
      <c r="A55" s="34" t="s">
        <v>916</v>
      </c>
      <c r="B55" s="35" t="s">
        <v>972</v>
      </c>
      <c r="C55" s="35" t="s">
        <v>1754</v>
      </c>
      <c r="E55" s="35">
        <v>15</v>
      </c>
      <c r="F55" s="35" t="s">
        <v>976</v>
      </c>
      <c r="H55" s="35" t="s">
        <v>3678</v>
      </c>
      <c r="J55" s="35" t="s">
        <v>1765</v>
      </c>
      <c r="L55" s="35" t="s">
        <v>976</v>
      </c>
      <c r="N55" s="35" t="s">
        <v>972</v>
      </c>
      <c r="O55" s="35" t="s">
        <v>972</v>
      </c>
      <c r="P55" s="35" t="s">
        <v>1766</v>
      </c>
      <c r="Q55" s="35" t="s">
        <v>972</v>
      </c>
      <c r="R55" s="35" t="s">
        <v>1767</v>
      </c>
      <c r="U55" s="35" t="s">
        <v>1768</v>
      </c>
      <c r="V55" s="35" t="s">
        <v>976</v>
      </c>
      <c r="W55" s="35" t="s">
        <v>972</v>
      </c>
      <c r="X55" s="35" t="s">
        <v>1752</v>
      </c>
      <c r="Y55" s="35" t="s">
        <v>1758</v>
      </c>
      <c r="AA55" s="35" t="s">
        <v>1769</v>
      </c>
    </row>
    <row r="56" spans="1:27" ht="63.75" x14ac:dyDescent="0.2">
      <c r="A56" s="34" t="s">
        <v>946</v>
      </c>
      <c r="B56" s="35" t="s">
        <v>972</v>
      </c>
      <c r="C56" s="35" t="s">
        <v>1744</v>
      </c>
      <c r="D56" s="35">
        <v>6</v>
      </c>
      <c r="F56" s="35" t="s">
        <v>976</v>
      </c>
      <c r="H56" s="35" t="s">
        <v>3676</v>
      </c>
      <c r="J56" s="35" t="s">
        <v>1806</v>
      </c>
      <c r="L56" s="35" t="s">
        <v>976</v>
      </c>
      <c r="N56" s="35" t="s">
        <v>972</v>
      </c>
      <c r="O56" s="35" t="s">
        <v>976</v>
      </c>
      <c r="Q56" s="35" t="s">
        <v>972</v>
      </c>
      <c r="R56" s="35" t="s">
        <v>1870</v>
      </c>
      <c r="S56" s="35" t="s">
        <v>1746</v>
      </c>
      <c r="U56" s="35" t="s">
        <v>1871</v>
      </c>
      <c r="V56" s="35" t="s">
        <v>976</v>
      </c>
      <c r="W56" s="35" t="s">
        <v>972</v>
      </c>
      <c r="AA56" s="35" t="s">
        <v>1872</v>
      </c>
    </row>
    <row r="57" spans="1:27" ht="51" x14ac:dyDescent="0.2">
      <c r="A57" s="34" t="s">
        <v>919</v>
      </c>
      <c r="B57" s="35" t="s">
        <v>972</v>
      </c>
      <c r="C57" s="35" t="s">
        <v>1754</v>
      </c>
      <c r="E57" s="35">
        <v>6</v>
      </c>
      <c r="F57" s="35" t="s">
        <v>972</v>
      </c>
      <c r="G57" s="35" t="s">
        <v>1780</v>
      </c>
      <c r="H57" s="35" t="s">
        <v>1781</v>
      </c>
      <c r="J57" s="35" t="s">
        <v>3690</v>
      </c>
      <c r="L57" s="35" t="s">
        <v>976</v>
      </c>
      <c r="N57" s="35" t="s">
        <v>972</v>
      </c>
      <c r="O57" s="35" t="s">
        <v>972</v>
      </c>
      <c r="P57" s="35" t="s">
        <v>1548</v>
      </c>
      <c r="Q57" s="35" t="s">
        <v>972</v>
      </c>
      <c r="R57" s="35" t="s">
        <v>1782</v>
      </c>
      <c r="S57" s="35" t="s">
        <v>1746</v>
      </c>
      <c r="U57" s="35" t="s">
        <v>1783</v>
      </c>
      <c r="W57" s="35" t="s">
        <v>972</v>
      </c>
      <c r="X57" s="35" t="s">
        <v>1757</v>
      </c>
      <c r="AA57" s="35" t="s">
        <v>1517</v>
      </c>
    </row>
    <row r="58" spans="1:27" ht="63.75" x14ac:dyDescent="0.2">
      <c r="A58" s="34" t="s">
        <v>929</v>
      </c>
      <c r="B58" s="35" t="s">
        <v>972</v>
      </c>
      <c r="C58" s="35" t="s">
        <v>1754</v>
      </c>
      <c r="E58" s="35">
        <v>4</v>
      </c>
      <c r="F58" s="35" t="s">
        <v>976</v>
      </c>
      <c r="H58" s="35" t="s">
        <v>3676</v>
      </c>
      <c r="J58" s="35" t="s">
        <v>1806</v>
      </c>
      <c r="L58" s="35" t="s">
        <v>976</v>
      </c>
      <c r="N58" s="35" t="s">
        <v>972</v>
      </c>
      <c r="O58" s="35" t="s">
        <v>976</v>
      </c>
      <c r="Q58" s="35" t="s">
        <v>972</v>
      </c>
      <c r="R58" s="35" t="s">
        <v>1807</v>
      </c>
      <c r="S58" s="35" t="s">
        <v>1776</v>
      </c>
      <c r="U58" s="35" t="s">
        <v>1808</v>
      </c>
      <c r="V58" s="35" t="s">
        <v>976</v>
      </c>
      <c r="W58" s="35" t="s">
        <v>972</v>
      </c>
      <c r="X58" s="35" t="s">
        <v>1757</v>
      </c>
      <c r="Y58" s="35" t="s">
        <v>1758</v>
      </c>
      <c r="AA58" s="35" t="s">
        <v>1809</v>
      </c>
    </row>
    <row r="59" spans="1:27" ht="63.75" x14ac:dyDescent="0.2">
      <c r="A59" s="34" t="s">
        <v>943</v>
      </c>
      <c r="B59" s="35" t="s">
        <v>972</v>
      </c>
      <c r="C59" s="35" t="s">
        <v>1754</v>
      </c>
      <c r="E59" s="35">
        <v>6</v>
      </c>
      <c r="F59" s="35" t="s">
        <v>976</v>
      </c>
      <c r="H59" s="35" t="s">
        <v>3676</v>
      </c>
      <c r="J59" s="35" t="s">
        <v>1770</v>
      </c>
      <c r="L59" s="35" t="s">
        <v>976</v>
      </c>
      <c r="N59" s="35" t="s">
        <v>976</v>
      </c>
      <c r="O59" s="35" t="s">
        <v>976</v>
      </c>
      <c r="Q59" s="35" t="s">
        <v>972</v>
      </c>
      <c r="R59" s="35" t="s">
        <v>1859</v>
      </c>
      <c r="S59" s="35" t="s">
        <v>1746</v>
      </c>
      <c r="U59" s="35" t="s">
        <v>1860</v>
      </c>
      <c r="V59" s="35" t="s">
        <v>972</v>
      </c>
      <c r="W59" s="35" t="s">
        <v>972</v>
      </c>
      <c r="X59" s="35" t="s">
        <v>1757</v>
      </c>
      <c r="Y59" s="35" t="s">
        <v>1758</v>
      </c>
      <c r="AA59" s="35" t="s">
        <v>1749</v>
      </c>
    </row>
    <row r="60" spans="1:27" ht="51" x14ac:dyDescent="0.2">
      <c r="A60" s="34" t="s">
        <v>953</v>
      </c>
      <c r="B60" s="35" t="s">
        <v>972</v>
      </c>
      <c r="C60" s="35" t="s">
        <v>1744</v>
      </c>
      <c r="D60" s="35">
        <v>8</v>
      </c>
      <c r="H60" s="35" t="s">
        <v>3681</v>
      </c>
      <c r="J60" s="35" t="s">
        <v>3690</v>
      </c>
      <c r="N60" s="35" t="s">
        <v>972</v>
      </c>
      <c r="Q60" s="35" t="s">
        <v>972</v>
      </c>
      <c r="R60" s="35" t="s">
        <v>1896</v>
      </c>
      <c r="W60" s="35" t="s">
        <v>972</v>
      </c>
      <c r="X60" s="35" t="s">
        <v>1747</v>
      </c>
      <c r="AA60" s="35" t="s">
        <v>1897</v>
      </c>
    </row>
    <row r="61" spans="1:27" x14ac:dyDescent="0.2">
      <c r="A61" s="20" t="s">
        <v>3541</v>
      </c>
      <c r="B61" s="21">
        <f>COUNTA(B3:B60)</f>
        <v>58</v>
      </c>
      <c r="C61" s="21">
        <f t="shared" ref="C61:AA61" si="0">COUNTA(C3:C60)</f>
        <v>57</v>
      </c>
      <c r="D61" s="21">
        <f t="shared" si="0"/>
        <v>26</v>
      </c>
      <c r="E61" s="21">
        <f t="shared" si="0"/>
        <v>27</v>
      </c>
      <c r="F61" s="21">
        <f t="shared" si="0"/>
        <v>54</v>
      </c>
      <c r="G61" s="21">
        <f t="shared" si="0"/>
        <v>12</v>
      </c>
      <c r="H61" s="21">
        <f t="shared" si="0"/>
        <v>57</v>
      </c>
      <c r="I61" s="21">
        <f t="shared" si="0"/>
        <v>3</v>
      </c>
      <c r="J61" s="21">
        <f t="shared" si="0"/>
        <v>57</v>
      </c>
      <c r="K61" s="21">
        <f t="shared" si="0"/>
        <v>3</v>
      </c>
      <c r="L61" s="21">
        <f t="shared" si="0"/>
        <v>55</v>
      </c>
      <c r="M61" s="21">
        <f t="shared" si="0"/>
        <v>2</v>
      </c>
      <c r="N61" s="21">
        <f t="shared" si="0"/>
        <v>57</v>
      </c>
      <c r="O61" s="21">
        <f t="shared" si="0"/>
        <v>56</v>
      </c>
      <c r="P61" s="21">
        <f t="shared" si="0"/>
        <v>13</v>
      </c>
      <c r="Q61" s="21">
        <f t="shared" si="0"/>
        <v>57</v>
      </c>
      <c r="R61" s="21">
        <f t="shared" si="0"/>
        <v>53</v>
      </c>
      <c r="S61" s="21">
        <f t="shared" si="0"/>
        <v>51</v>
      </c>
      <c r="T61" s="21">
        <f t="shared" si="0"/>
        <v>5</v>
      </c>
      <c r="U61" s="21">
        <f t="shared" si="0"/>
        <v>39</v>
      </c>
      <c r="V61" s="21">
        <f t="shared" si="0"/>
        <v>54</v>
      </c>
      <c r="W61" s="21">
        <f t="shared" si="0"/>
        <v>57</v>
      </c>
      <c r="X61" s="21">
        <f t="shared" si="0"/>
        <v>51</v>
      </c>
      <c r="Y61" s="21">
        <f t="shared" si="0"/>
        <v>44</v>
      </c>
      <c r="Z61" s="21">
        <f t="shared" si="0"/>
        <v>20</v>
      </c>
      <c r="AA61" s="21">
        <f t="shared" si="0"/>
        <v>55</v>
      </c>
    </row>
  </sheetData>
  <autoFilter ref="A2:AA2" xr:uid="{67F39413-0B73-4597-A7BF-B6056B412790}"/>
  <sortState xmlns:xlrd2="http://schemas.microsoft.com/office/spreadsheetml/2017/richdata2" ref="A3:AA60">
    <sortCondition ref="A3:A60"/>
  </sortState>
  <conditionalFormatting sqref="A3:A59">
    <cfRule type="duplicateValues" dxfId="14" priority="2"/>
    <cfRule type="duplicateValues" dxfId="13" priority="3"/>
  </conditionalFormatting>
  <conditionalFormatting sqref="A60">
    <cfRule type="duplicateValues" dxfId="12" priority="1"/>
  </conditionalFormatting>
  <hyperlinks>
    <hyperlink ref="A1" location="Index!A1" display="Back to Index"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Index</vt:lpstr>
      <vt:lpstr>Private Medical Insurance</vt:lpstr>
      <vt:lpstr>Dental &amp; Vision</vt:lpstr>
      <vt:lpstr>Life,Accident,Critical Illness</vt:lpstr>
      <vt:lpstr>Short &amp; Long Term Disability</vt:lpstr>
      <vt:lpstr>Retirement</vt:lpstr>
      <vt:lpstr>Wellness</vt:lpstr>
      <vt:lpstr>EAP</vt:lpstr>
      <vt:lpstr>Leaves</vt:lpstr>
      <vt:lpstr>Voluntary Benefits</vt:lpstr>
      <vt:lpstr>Perks &amp; Allowances</vt:lpstr>
      <vt:lpstr>Transportation Policy</vt:lpstr>
    </vt:vector>
  </TitlesOfParts>
  <Company>Arthur J Gallagher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Annmarie Flaherty</dc:creator>
  <cp:lastModifiedBy>Matt Gismondi</cp:lastModifiedBy>
  <dcterms:created xsi:type="dcterms:W3CDTF">2021-10-12T21:05:57Z</dcterms:created>
  <dcterms:modified xsi:type="dcterms:W3CDTF">2021-12-06T22:53:46Z</dcterms:modified>
</cp:coreProperties>
</file>