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Matt Gismondi\Box\SVEF\3. Benchmarking\Country Surveys\Canada &amp; Singapore\2022 Canada &amp; Singapore\Canada\Reporting\Master File\"/>
    </mc:Choice>
  </mc:AlternateContent>
  <xr:revisionPtr revIDLastSave="0" documentId="13_ncr:1_{B038C654-1AAE-4997-BD31-ECCAA817677B}" xr6:coauthVersionLast="46" xr6:coauthVersionMax="47" xr10:uidLastSave="{00000000-0000-0000-0000-000000000000}"/>
  <bookViews>
    <workbookView xWindow="-28920" yWindow="-15" windowWidth="29040" windowHeight="15840" tabRatio="893" xr2:uid="{00000000-000D-0000-FFFF-FFFF00000000}"/>
  </bookViews>
  <sheets>
    <sheet name="Instructions" sheetId="14" r:id="rId1"/>
    <sheet name="Index" sheetId="1" r:id="rId2"/>
    <sheet name="Demographics" sheetId="2" r:id="rId3"/>
    <sheet name="Supp. Healthcare" sheetId="3" r:id="rId4"/>
    <sheet name="Dental &amp; Vision" sheetId="4" r:id="rId5"/>
    <sheet name="Life, AD&amp;D, Critical Illness" sheetId="5" r:id="rId6"/>
    <sheet name="Sickness &amp; Disability" sheetId="6" r:id="rId7"/>
    <sheet name="Retirement" sheetId="7" r:id="rId8"/>
    <sheet name="Leaves" sheetId="8" r:id="rId9"/>
    <sheet name="Wellbeing" sheetId="9" r:id="rId10"/>
    <sheet name="Transportation" sheetId="10" r:id="rId11"/>
    <sheet name="Perqs &amp; Allowances" sheetId="11" r:id="rId12"/>
    <sheet name="Flexible Benefits" sheetId="12" r:id="rId13"/>
    <sheet name="Voluntary Benefits" sheetId="13" r:id="rId14"/>
  </sheets>
  <definedNames>
    <definedName name="_xlnm._FilterDatabase" localSheetId="2" hidden="1">Demographics!$A$2:$AI$64</definedName>
    <definedName name="_xlnm._FilterDatabase" localSheetId="4" hidden="1">'Dental &amp; Vision'!$A$2:$CS$64</definedName>
    <definedName name="_xlnm._FilterDatabase" localSheetId="12" hidden="1">'Flexible Benefits'!$A$2:$E$64</definedName>
    <definedName name="_xlnm._FilterDatabase" localSheetId="8" hidden="1">Leaves!$A$2:$FJ$64</definedName>
    <definedName name="_xlnm._FilterDatabase" localSheetId="5" hidden="1">'Life, AD&amp;D, Critical Illness'!$A$2:$DF$65</definedName>
    <definedName name="_xlnm._FilterDatabase" localSheetId="11" hidden="1">'Perqs &amp; Allowances'!$A$2:$AU$64</definedName>
    <definedName name="_xlnm._FilterDatabase" localSheetId="7" hidden="1">Retirement!$A$2:$CC$64</definedName>
    <definedName name="_xlnm._FilterDatabase" localSheetId="6" hidden="1">'Sickness &amp; Disability'!$A$2:$CY$64</definedName>
    <definedName name="_xlnm._FilterDatabase" localSheetId="3" hidden="1">'Supp. Healthcare'!$A$2:$BI$64</definedName>
    <definedName name="_xlnm._FilterDatabase" localSheetId="10" hidden="1">Transportation!$A$2:$CS$64</definedName>
    <definedName name="_xlnm._FilterDatabase" localSheetId="13" hidden="1">'Voluntary Benefits'!$A$2:$D$64</definedName>
    <definedName name="_xlnm._FilterDatabase" localSheetId="9" hidden="1">Wellbeing!$A$2:$BX$64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0" i="1" l="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c r="H6" i="1"/>
  <c r="G6" i="1"/>
  <c r="H5" i="1"/>
  <c r="G5" i="1"/>
  <c r="H4" i="1"/>
  <c r="G4" i="1"/>
  <c r="H3" i="1"/>
  <c r="G3" i="1"/>
  <c r="H2" i="1"/>
  <c r="G2" i="1"/>
  <c r="N166" i="1"/>
  <c r="M166" i="1"/>
  <c r="N165" i="1"/>
  <c r="M165" i="1"/>
  <c r="N164" i="1"/>
  <c r="M164" i="1"/>
  <c r="N163" i="1"/>
  <c r="M163" i="1"/>
  <c r="N162" i="1"/>
  <c r="M162" i="1"/>
  <c r="N161" i="1"/>
  <c r="M161" i="1"/>
  <c r="N160" i="1"/>
  <c r="M160" i="1"/>
  <c r="N159" i="1"/>
  <c r="M159" i="1"/>
  <c r="N158" i="1"/>
  <c r="M158" i="1"/>
  <c r="N157" i="1"/>
  <c r="M157" i="1"/>
  <c r="N156" i="1"/>
  <c r="M156" i="1"/>
  <c r="N155" i="1"/>
  <c r="M155" i="1"/>
  <c r="N154" i="1"/>
  <c r="M154" i="1"/>
  <c r="N153" i="1"/>
  <c r="M153" i="1"/>
  <c r="N152" i="1"/>
  <c r="M152" i="1"/>
  <c r="N151" i="1"/>
  <c r="M151" i="1"/>
  <c r="N150" i="1"/>
  <c r="M150" i="1"/>
  <c r="N149" i="1"/>
  <c r="M149" i="1"/>
  <c r="N148" i="1"/>
  <c r="M148" i="1"/>
  <c r="N147" i="1"/>
  <c r="M147" i="1"/>
  <c r="N146" i="1"/>
  <c r="M146" i="1"/>
  <c r="N145" i="1"/>
  <c r="M145" i="1"/>
  <c r="N144" i="1"/>
  <c r="M144" i="1"/>
  <c r="N143" i="1"/>
  <c r="M143" i="1"/>
  <c r="N142" i="1"/>
  <c r="M142" i="1"/>
  <c r="N141" i="1"/>
  <c r="M141" i="1"/>
  <c r="N140" i="1"/>
  <c r="M140" i="1"/>
  <c r="N139" i="1"/>
  <c r="M139" i="1"/>
  <c r="N138" i="1"/>
  <c r="M138" i="1"/>
  <c r="N137" i="1"/>
  <c r="M137" i="1"/>
  <c r="N136" i="1"/>
  <c r="M136" i="1"/>
  <c r="N135" i="1"/>
  <c r="M135" i="1"/>
  <c r="N134" i="1"/>
  <c r="M134" i="1"/>
  <c r="N133" i="1"/>
  <c r="M133" i="1"/>
  <c r="N132" i="1"/>
  <c r="M132" i="1"/>
  <c r="N131" i="1"/>
  <c r="M131" i="1"/>
  <c r="N130" i="1"/>
  <c r="M130" i="1"/>
  <c r="N129" i="1"/>
  <c r="M129" i="1"/>
  <c r="N128" i="1"/>
  <c r="M128" i="1"/>
  <c r="N127" i="1"/>
  <c r="M127" i="1"/>
  <c r="N126" i="1"/>
  <c r="M126" i="1"/>
  <c r="N125" i="1"/>
  <c r="M125" i="1"/>
  <c r="N124" i="1"/>
  <c r="M124" i="1"/>
  <c r="N123" i="1"/>
  <c r="M123" i="1"/>
  <c r="N122" i="1"/>
  <c r="M122" i="1"/>
  <c r="N121" i="1"/>
  <c r="M121" i="1"/>
  <c r="N120" i="1"/>
  <c r="M120" i="1"/>
  <c r="N119" i="1"/>
  <c r="M119" i="1"/>
  <c r="N118" i="1"/>
  <c r="M118" i="1"/>
  <c r="N117" i="1"/>
  <c r="M117" i="1"/>
  <c r="N116" i="1"/>
  <c r="M116" i="1"/>
  <c r="N115" i="1"/>
  <c r="M115" i="1"/>
  <c r="N114" i="1"/>
  <c r="M114" i="1"/>
  <c r="N113" i="1"/>
  <c r="M113" i="1"/>
  <c r="N112" i="1"/>
  <c r="M112" i="1"/>
  <c r="N111" i="1"/>
  <c r="M111" i="1"/>
  <c r="N110" i="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N90" i="1"/>
  <c r="M90" i="1"/>
  <c r="N89" i="1"/>
  <c r="M89" i="1"/>
  <c r="N88" i="1"/>
  <c r="M88" i="1"/>
  <c r="N87" i="1"/>
  <c r="M87" i="1"/>
  <c r="N86" i="1"/>
  <c r="M86"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71" i="1"/>
  <c r="M71" i="1"/>
  <c r="N70" i="1"/>
  <c r="M70" i="1"/>
  <c r="N69" i="1"/>
  <c r="M69" i="1"/>
  <c r="N68" i="1"/>
  <c r="M68" i="1"/>
  <c r="N67" i="1"/>
  <c r="M67" i="1"/>
  <c r="N66" i="1"/>
  <c r="M66" i="1"/>
  <c r="N65" i="1"/>
  <c r="M65" i="1"/>
  <c r="N64" i="1"/>
  <c r="M64"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 r="N4" i="1"/>
  <c r="M4" i="1"/>
  <c r="N3" i="1"/>
  <c r="M3" i="1"/>
  <c r="N2" i="1"/>
  <c r="M2" i="1"/>
  <c r="X4" i="1" l="1"/>
  <c r="W4" i="1"/>
  <c r="X3" i="1"/>
  <c r="W3" i="1"/>
  <c r="X2" i="1"/>
  <c r="W2" i="1"/>
  <c r="V5" i="1"/>
  <c r="U5" i="1"/>
  <c r="V4" i="1"/>
  <c r="U4" i="1"/>
  <c r="V3" i="1"/>
  <c r="U3"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T6" i="1"/>
  <c r="S6" i="1"/>
  <c r="T5" i="1"/>
  <c r="S5" i="1"/>
  <c r="T4" i="1"/>
  <c r="S4" i="1"/>
  <c r="T3" i="1"/>
  <c r="S3" i="1"/>
  <c r="R97" i="1"/>
  <c r="Q97" i="1"/>
  <c r="R96" i="1"/>
  <c r="Q96" i="1"/>
  <c r="R95" i="1"/>
  <c r="Q95" i="1"/>
  <c r="R94" i="1"/>
  <c r="Q94" i="1"/>
  <c r="R93" i="1"/>
  <c r="Q93" i="1"/>
  <c r="R92" i="1"/>
  <c r="Q92" i="1"/>
  <c r="R91" i="1"/>
  <c r="Q91" i="1"/>
  <c r="R90" i="1"/>
  <c r="Q90" i="1"/>
  <c r="R89" i="1"/>
  <c r="Q89" i="1"/>
  <c r="R88" i="1"/>
  <c r="Q88" i="1"/>
  <c r="R87" i="1"/>
  <c r="Q87" i="1"/>
  <c r="R86" i="1"/>
  <c r="Q86" i="1"/>
  <c r="R85" i="1"/>
  <c r="Q85" i="1"/>
  <c r="R84" i="1"/>
  <c r="Q84" i="1"/>
  <c r="R83" i="1"/>
  <c r="Q83" i="1"/>
  <c r="R82" i="1"/>
  <c r="Q82" i="1"/>
  <c r="R81" i="1"/>
  <c r="Q81" i="1"/>
  <c r="R80" i="1"/>
  <c r="Q80" i="1"/>
  <c r="R79" i="1"/>
  <c r="Q79" i="1"/>
  <c r="R78" i="1"/>
  <c r="Q78" i="1"/>
  <c r="R77" i="1"/>
  <c r="Q77" i="1"/>
  <c r="R76" i="1"/>
  <c r="Q76" i="1"/>
  <c r="R75" i="1"/>
  <c r="Q75" i="1"/>
  <c r="R74" i="1"/>
  <c r="Q74" i="1"/>
  <c r="R73" i="1"/>
  <c r="Q73" i="1"/>
  <c r="R72" i="1"/>
  <c r="Q72" i="1"/>
  <c r="R71" i="1"/>
  <c r="Q71" i="1"/>
  <c r="R70" i="1"/>
  <c r="Q70" i="1"/>
  <c r="R69" i="1"/>
  <c r="Q69" i="1"/>
  <c r="R68" i="1"/>
  <c r="Q68" i="1"/>
  <c r="R67" i="1"/>
  <c r="Q67" i="1"/>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R8" i="1"/>
  <c r="Q8" i="1"/>
  <c r="R7" i="1"/>
  <c r="Q7" i="1"/>
  <c r="R6" i="1"/>
  <c r="Q6" i="1"/>
  <c r="R5" i="1"/>
  <c r="Q5" i="1"/>
  <c r="R4" i="1"/>
  <c r="Q4" i="1"/>
  <c r="R3" i="1"/>
  <c r="Q3" i="1"/>
  <c r="P76" i="1"/>
  <c r="O76" i="1"/>
  <c r="P75" i="1"/>
  <c r="O75" i="1"/>
  <c r="P74" i="1"/>
  <c r="O74" i="1"/>
  <c r="P73" i="1"/>
  <c r="O73" i="1"/>
  <c r="P72" i="1"/>
  <c r="O72" i="1"/>
  <c r="P71" i="1"/>
  <c r="O71" i="1"/>
  <c r="P70" i="1"/>
  <c r="O70" i="1"/>
  <c r="P69" i="1"/>
  <c r="O69" i="1"/>
  <c r="P68" i="1"/>
  <c r="O68" i="1"/>
  <c r="P67" i="1"/>
  <c r="O67" i="1"/>
  <c r="P66" i="1"/>
  <c r="O66" i="1"/>
  <c r="P65" i="1"/>
  <c r="O65" i="1"/>
  <c r="P64" i="1"/>
  <c r="O64" i="1"/>
  <c r="P63" i="1"/>
  <c r="O63" i="1"/>
  <c r="P62" i="1"/>
  <c r="O62" i="1"/>
  <c r="P61" i="1"/>
  <c r="O61" i="1"/>
  <c r="P60" i="1"/>
  <c r="O60" i="1"/>
  <c r="P59" i="1"/>
  <c r="O59" i="1"/>
  <c r="P58" i="1"/>
  <c r="O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 r="P15" i="1"/>
  <c r="O15" i="1"/>
  <c r="P14" i="1"/>
  <c r="O14" i="1"/>
  <c r="P13" i="1"/>
  <c r="O13" i="1"/>
  <c r="P12" i="1"/>
  <c r="O12" i="1"/>
  <c r="P11" i="1"/>
  <c r="O11" i="1"/>
  <c r="P10" i="1"/>
  <c r="O10" i="1"/>
  <c r="P9" i="1"/>
  <c r="O9" i="1"/>
  <c r="P8" i="1"/>
  <c r="O8" i="1"/>
  <c r="P7" i="1"/>
  <c r="O7" i="1"/>
  <c r="P6" i="1"/>
  <c r="O6" i="1"/>
  <c r="P5" i="1"/>
  <c r="O5" i="1"/>
  <c r="P4" i="1"/>
  <c r="O4" i="1"/>
  <c r="P3" i="1"/>
  <c r="O3"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4" i="1"/>
  <c r="K4" i="1"/>
  <c r="L3" i="1"/>
  <c r="K3"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D31" i="1"/>
  <c r="C31" i="1"/>
  <c r="D30" i="1"/>
  <c r="C30" i="1"/>
  <c r="D29" i="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D11" i="1"/>
  <c r="C11" i="1"/>
  <c r="D10" i="1"/>
  <c r="C10" i="1"/>
  <c r="D9" i="1"/>
  <c r="C9" i="1"/>
  <c r="D8" i="1"/>
  <c r="C8" i="1"/>
  <c r="D7" i="1"/>
  <c r="C7" i="1"/>
  <c r="D6" i="1"/>
  <c r="C6" i="1"/>
  <c r="D5" i="1"/>
  <c r="C5" i="1"/>
  <c r="D4" i="1"/>
  <c r="C4" i="1"/>
  <c r="D3" i="1"/>
  <c r="C3"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V2" i="1"/>
  <c r="U2" i="1"/>
  <c r="T2" i="1"/>
  <c r="S2" i="1"/>
  <c r="R2" i="1"/>
  <c r="Q2" i="1"/>
  <c r="P2" i="1"/>
  <c r="O2" i="1"/>
  <c r="L2" i="1"/>
  <c r="K2" i="1"/>
  <c r="J2" i="1"/>
  <c r="I2" i="1"/>
  <c r="F2" i="1"/>
  <c r="E2" i="1"/>
  <c r="D2" i="1"/>
  <c r="C2" i="1"/>
  <c r="B2" i="1"/>
  <c r="A2" i="1"/>
  <c r="D65" i="13" l="1"/>
  <c r="C65" i="13"/>
  <c r="B65" i="13"/>
  <c r="E65" i="12"/>
  <c r="D65" i="12"/>
  <c r="C65" i="12"/>
  <c r="B65" i="12"/>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T65" i="11"/>
  <c r="S65" i="11"/>
  <c r="R65" i="11"/>
  <c r="Q65" i="11"/>
  <c r="P65" i="11"/>
  <c r="O65" i="11"/>
  <c r="N65" i="11"/>
  <c r="M65" i="11"/>
  <c r="L65" i="11"/>
  <c r="K65" i="11"/>
  <c r="J65" i="11"/>
  <c r="I65" i="11"/>
  <c r="H65" i="11"/>
  <c r="G65" i="11"/>
  <c r="F65" i="11"/>
  <c r="E65" i="11"/>
  <c r="D65" i="11"/>
  <c r="C65" i="11"/>
  <c r="B65" i="11"/>
  <c r="CS65" i="10"/>
  <c r="CR65" i="10"/>
  <c r="CQ65" i="10"/>
  <c r="CP65" i="10"/>
  <c r="CO65" i="10"/>
  <c r="CN65" i="10"/>
  <c r="CM65" i="10"/>
  <c r="CL65" i="10"/>
  <c r="CK65" i="10"/>
  <c r="CJ65" i="10"/>
  <c r="CI65" i="10"/>
  <c r="CH65" i="10"/>
  <c r="CG65" i="10"/>
  <c r="CF65" i="10"/>
  <c r="CE65" i="10"/>
  <c r="CD65" i="10"/>
  <c r="CC65" i="10"/>
  <c r="CB65" i="10"/>
  <c r="CA65" i="10"/>
  <c r="BZ65" i="10"/>
  <c r="BY65" i="10"/>
  <c r="BX65" i="10"/>
  <c r="BW65" i="10"/>
  <c r="BV65" i="10"/>
  <c r="BU65" i="10"/>
  <c r="BT65" i="10"/>
  <c r="BS65" i="10"/>
  <c r="BR65" i="10"/>
  <c r="BQ65" i="10"/>
  <c r="BP65" i="10"/>
  <c r="BO65" i="10"/>
  <c r="BN65" i="10"/>
  <c r="BM65" i="10"/>
  <c r="BL65" i="10"/>
  <c r="BK65" i="10"/>
  <c r="BJ65" i="10"/>
  <c r="BI65" i="10"/>
  <c r="BH65" i="10"/>
  <c r="BG65" i="10"/>
  <c r="BF65" i="10"/>
  <c r="BE65" i="10"/>
  <c r="BD65" i="10"/>
  <c r="BC65" i="10"/>
  <c r="BB65" i="10"/>
  <c r="BA65" i="10"/>
  <c r="AZ65" i="10"/>
  <c r="AY65" i="10"/>
  <c r="AX65" i="10"/>
  <c r="AW65" i="10"/>
  <c r="AV65" i="10"/>
  <c r="AU65" i="10"/>
  <c r="AT65" i="10"/>
  <c r="AS65" i="10"/>
  <c r="AR65" i="10"/>
  <c r="AQ65" i="10"/>
  <c r="AP65" i="10"/>
  <c r="AO65" i="10"/>
  <c r="AN65" i="10"/>
  <c r="AM65" i="10"/>
  <c r="AL65" i="10"/>
  <c r="AK65" i="10"/>
  <c r="AJ65" i="10"/>
  <c r="AI65" i="10"/>
  <c r="AH65" i="10"/>
  <c r="AG65" i="10"/>
  <c r="AF65" i="10"/>
  <c r="AE65" i="10"/>
  <c r="AD65" i="10"/>
  <c r="AC65" i="10"/>
  <c r="AB65" i="10"/>
  <c r="AA65" i="10"/>
  <c r="Z65" i="10"/>
  <c r="Y65" i="10"/>
  <c r="X65" i="10"/>
  <c r="W65" i="10"/>
  <c r="V65" i="10"/>
  <c r="U65" i="10"/>
  <c r="T65" i="10"/>
  <c r="S65" i="10"/>
  <c r="R65" i="10"/>
  <c r="Q65" i="10"/>
  <c r="P65" i="10"/>
  <c r="O65" i="10"/>
  <c r="N65" i="10"/>
  <c r="M65" i="10"/>
  <c r="L65" i="10"/>
  <c r="K65" i="10"/>
  <c r="J65" i="10"/>
  <c r="I65" i="10"/>
  <c r="H65" i="10"/>
  <c r="G65" i="10"/>
  <c r="F65" i="10"/>
  <c r="E65" i="10"/>
  <c r="D65" i="10"/>
  <c r="C65" i="10"/>
  <c r="B65" i="10"/>
  <c r="BX65" i="9"/>
  <c r="BW65" i="9"/>
  <c r="BV65"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C65" i="9"/>
  <c r="B65" i="9"/>
  <c r="FJ65" i="8"/>
  <c r="FI65" i="8"/>
  <c r="FH65" i="8"/>
  <c r="FG65" i="8"/>
  <c r="FF65" i="8"/>
  <c r="FE65" i="8"/>
  <c r="FD65" i="8"/>
  <c r="FC65" i="8"/>
  <c r="FB65" i="8"/>
  <c r="FA65" i="8"/>
  <c r="EZ65" i="8"/>
  <c r="EY65" i="8"/>
  <c r="EX65" i="8"/>
  <c r="EW65" i="8"/>
  <c r="EV65" i="8"/>
  <c r="EU65" i="8"/>
  <c r="ET65" i="8"/>
  <c r="ES65" i="8"/>
  <c r="ER65" i="8"/>
  <c r="EQ65" i="8"/>
  <c r="EP65" i="8"/>
  <c r="EO65" i="8"/>
  <c r="EN65" i="8"/>
  <c r="EM65" i="8"/>
  <c r="EL65" i="8"/>
  <c r="EK65" i="8"/>
  <c r="EJ65" i="8"/>
  <c r="EI65" i="8"/>
  <c r="EH65" i="8"/>
  <c r="EG65" i="8"/>
  <c r="EF65" i="8"/>
  <c r="EE65" i="8"/>
  <c r="ED65" i="8"/>
  <c r="EC65" i="8"/>
  <c r="EB65" i="8"/>
  <c r="EA65" i="8"/>
  <c r="DZ65" i="8"/>
  <c r="DY65" i="8"/>
  <c r="DX65" i="8"/>
  <c r="DW65" i="8"/>
  <c r="DV65" i="8"/>
  <c r="DU65" i="8"/>
  <c r="DT65" i="8"/>
  <c r="DS65" i="8"/>
  <c r="DR65" i="8"/>
  <c r="DQ65" i="8"/>
  <c r="DP65" i="8"/>
  <c r="DO65" i="8"/>
  <c r="DN65" i="8"/>
  <c r="DM65" i="8"/>
  <c r="DL65" i="8"/>
  <c r="DK65" i="8"/>
  <c r="DJ65" i="8"/>
  <c r="DI65" i="8"/>
  <c r="DH65" i="8"/>
  <c r="DG65" i="8"/>
  <c r="DF65" i="8"/>
  <c r="DE65" i="8"/>
  <c r="DD65" i="8"/>
  <c r="DC65" i="8"/>
  <c r="DB65" i="8"/>
  <c r="DA65" i="8"/>
  <c r="CZ65" i="8"/>
  <c r="CY65" i="8"/>
  <c r="CX65" i="8"/>
  <c r="CW65" i="8"/>
  <c r="CV65" i="8"/>
  <c r="CU65" i="8"/>
  <c r="CT65" i="8"/>
  <c r="CS65" i="8"/>
  <c r="CR65" i="8"/>
  <c r="CQ65" i="8"/>
  <c r="CP65" i="8"/>
  <c r="CO65" i="8"/>
  <c r="CN65" i="8"/>
  <c r="CM65" i="8"/>
  <c r="CL65" i="8"/>
  <c r="CK65" i="8"/>
  <c r="CJ65" i="8"/>
  <c r="CI65" i="8"/>
  <c r="CH65" i="8"/>
  <c r="CG65" i="8"/>
  <c r="CF65" i="8"/>
  <c r="CE65" i="8"/>
  <c r="CD65" i="8"/>
  <c r="CC65" i="8"/>
  <c r="CB65" i="8"/>
  <c r="CA65" i="8"/>
  <c r="BZ65" i="8"/>
  <c r="BY65" i="8"/>
  <c r="BX65" i="8"/>
  <c r="BW65" i="8"/>
  <c r="BV65" i="8"/>
  <c r="BU65" i="8"/>
  <c r="BT65" i="8"/>
  <c r="BS65" i="8"/>
  <c r="BR65" i="8"/>
  <c r="BQ65" i="8"/>
  <c r="BP65" i="8"/>
  <c r="BO65" i="8"/>
  <c r="BN65" i="8"/>
  <c r="BM65" i="8"/>
  <c r="BL65" i="8"/>
  <c r="BK65" i="8"/>
  <c r="BJ65" i="8"/>
  <c r="BI65" i="8"/>
  <c r="BH65" i="8"/>
  <c r="BG65" i="8"/>
  <c r="BF65" i="8"/>
  <c r="BE65" i="8"/>
  <c r="BD65" i="8"/>
  <c r="BC65" i="8"/>
  <c r="BB65" i="8"/>
  <c r="BA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R65" i="8"/>
  <c r="Q65" i="8"/>
  <c r="P65" i="8"/>
  <c r="O65" i="8"/>
  <c r="N65" i="8"/>
  <c r="M65" i="8"/>
  <c r="L65" i="8"/>
  <c r="K65" i="8"/>
  <c r="J65" i="8"/>
  <c r="I65" i="8"/>
  <c r="H65" i="8"/>
  <c r="G65" i="8"/>
  <c r="F65" i="8"/>
  <c r="E65" i="8"/>
  <c r="D65" i="8"/>
  <c r="C65" i="8"/>
  <c r="B65" i="8"/>
  <c r="CC65" i="7"/>
  <c r="CB65" i="7"/>
  <c r="CA65" i="7"/>
  <c r="BZ65" i="7"/>
  <c r="BY65" i="7"/>
  <c r="BX65" i="7"/>
  <c r="BW65" i="7"/>
  <c r="BV65" i="7"/>
  <c r="BU65" i="7"/>
  <c r="BT65" i="7"/>
  <c r="BS65" i="7"/>
  <c r="BR65" i="7"/>
  <c r="BQ65" i="7"/>
  <c r="BP65" i="7"/>
  <c r="BO65" i="7"/>
  <c r="BN65" i="7"/>
  <c r="BM65" i="7"/>
  <c r="BL65" i="7"/>
  <c r="BK65" i="7"/>
  <c r="BJ65"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E65" i="7"/>
  <c r="D65" i="7"/>
  <c r="C65" i="7"/>
  <c r="B65" i="7"/>
  <c r="CY65" i="6"/>
  <c r="CX65" i="6"/>
  <c r="CW65" i="6"/>
  <c r="CV65" i="6"/>
  <c r="CU65" i="6"/>
  <c r="CT65" i="6"/>
  <c r="CS65" i="6"/>
  <c r="CR65" i="6"/>
  <c r="CQ65" i="6"/>
  <c r="CP65" i="6"/>
  <c r="CO65" i="6"/>
  <c r="CN65" i="6"/>
  <c r="CM65" i="6"/>
  <c r="CL65" i="6"/>
  <c r="CK65" i="6"/>
  <c r="CJ65" i="6"/>
  <c r="CI65" i="6"/>
  <c r="CH65" i="6"/>
  <c r="CG65" i="6"/>
  <c r="CF65" i="6"/>
  <c r="CE65" i="6"/>
  <c r="CD65" i="6"/>
  <c r="CC65" i="6"/>
  <c r="CB65" i="6"/>
  <c r="CA65" i="6"/>
  <c r="BZ65" i="6"/>
  <c r="BY65" i="6"/>
  <c r="BX65" i="6"/>
  <c r="BW65" i="6"/>
  <c r="BV65" i="6"/>
  <c r="BU65" i="6"/>
  <c r="BT65" i="6"/>
  <c r="BS65" i="6"/>
  <c r="BR65"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B65" i="6"/>
  <c r="DF65" i="5"/>
  <c r="DE65" i="5"/>
  <c r="DD65" i="5"/>
  <c r="DC65" i="5"/>
  <c r="DB65" i="5"/>
  <c r="DA65" i="5"/>
  <c r="CZ65" i="5"/>
  <c r="CY65" i="5"/>
  <c r="CX65" i="5"/>
  <c r="CW65" i="5"/>
  <c r="CV65" i="5"/>
  <c r="CU65" i="5"/>
  <c r="CT65" i="5"/>
  <c r="CS65" i="5"/>
  <c r="CR65" i="5"/>
  <c r="CQ65" i="5"/>
  <c r="CP65" i="5"/>
  <c r="CO65" i="5"/>
  <c r="CN65" i="5"/>
  <c r="CM65" i="5"/>
  <c r="CL65" i="5"/>
  <c r="CK65" i="5"/>
  <c r="CJ65" i="5"/>
  <c r="CI65" i="5"/>
  <c r="CH65" i="5"/>
  <c r="CG65" i="5"/>
  <c r="CF65" i="5"/>
  <c r="CE65" i="5"/>
  <c r="CD65" i="5"/>
  <c r="CC65" i="5"/>
  <c r="CB65" i="5"/>
  <c r="CA65" i="5"/>
  <c r="BZ65" i="5"/>
  <c r="BY65" i="5"/>
  <c r="BX65" i="5"/>
  <c r="BW65" i="5"/>
  <c r="BV65" i="5"/>
  <c r="BU65" i="5"/>
  <c r="BT65" i="5"/>
  <c r="BS65" i="5"/>
  <c r="BR65" i="5"/>
  <c r="BQ65" i="5"/>
  <c r="BP65" i="5"/>
  <c r="BO65" i="5"/>
  <c r="BN65" i="5"/>
  <c r="BM65" i="5"/>
  <c r="BL65" i="5"/>
  <c r="BK65" i="5"/>
  <c r="BJ65" i="5"/>
  <c r="BI65" i="5"/>
  <c r="BH65" i="5"/>
  <c r="BG65" i="5"/>
  <c r="BF65" i="5"/>
  <c r="BE65" i="5"/>
  <c r="BD65" i="5"/>
  <c r="BC65" i="5"/>
  <c r="BB65" i="5"/>
  <c r="BA65" i="5"/>
  <c r="AZ65" i="5"/>
  <c r="AY65"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C65" i="5"/>
  <c r="B65" i="5"/>
  <c r="CS65" i="4"/>
  <c r="CR65" i="4"/>
  <c r="CQ65" i="4"/>
  <c r="CP65" i="4"/>
  <c r="CO65" i="4"/>
  <c r="CN65" i="4"/>
  <c r="CM65" i="4"/>
  <c r="CL65" i="4"/>
  <c r="CK65" i="4"/>
  <c r="CJ65" i="4"/>
  <c r="CI65" i="4"/>
  <c r="CH65" i="4"/>
  <c r="CG65" i="4"/>
  <c r="CF65" i="4"/>
  <c r="CE65" i="4"/>
  <c r="CD65" i="4"/>
  <c r="CC65" i="4"/>
  <c r="CB65" i="4"/>
  <c r="CA65" i="4"/>
  <c r="BZ65" i="4"/>
  <c r="BY65" i="4"/>
  <c r="BX65" i="4"/>
  <c r="BW65" i="4"/>
  <c r="BV65" i="4"/>
  <c r="BU65" i="4"/>
  <c r="BT65" i="4"/>
  <c r="BS65" i="4"/>
  <c r="BR65" i="4"/>
  <c r="BQ65" i="4"/>
  <c r="BP65" i="4"/>
  <c r="BO65" i="4"/>
  <c r="BN65" i="4"/>
  <c r="BM65" i="4"/>
  <c r="BL65" i="4"/>
  <c r="BK65" i="4"/>
  <c r="BJ65" i="4"/>
  <c r="BI65" i="4"/>
  <c r="BH65" i="4"/>
  <c r="BG65" i="4"/>
  <c r="BF65" i="4"/>
  <c r="BE65" i="4"/>
  <c r="BD65" i="4"/>
  <c r="BC65" i="4"/>
  <c r="BB65" i="4"/>
  <c r="BA65" i="4"/>
  <c r="AZ65" i="4"/>
  <c r="AY65" i="4"/>
  <c r="AX65"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U65" i="4"/>
  <c r="T65" i="4"/>
  <c r="S65" i="4"/>
  <c r="R65" i="4"/>
  <c r="Q65" i="4"/>
  <c r="P65" i="4"/>
  <c r="O65" i="4"/>
  <c r="N65" i="4"/>
  <c r="M65" i="4"/>
  <c r="L65" i="4"/>
  <c r="K65" i="4"/>
  <c r="J65" i="4"/>
  <c r="I65" i="4"/>
  <c r="H65" i="4"/>
  <c r="G65" i="4"/>
  <c r="F65" i="4"/>
  <c r="E65" i="4"/>
  <c r="D65" i="4"/>
  <c r="C65" i="4"/>
  <c r="B65" i="4"/>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B65" i="3"/>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D65" i="2"/>
  <c r="C65" i="2"/>
  <c r="B65" i="2"/>
</calcChain>
</file>

<file path=xl/sharedStrings.xml><?xml version="1.0" encoding="utf-8"?>
<sst xmlns="http://schemas.openxmlformats.org/spreadsheetml/2006/main" count="14988" uniqueCount="3381">
  <si>
    <t>Dental &amp; Vision</t>
  </si>
  <si>
    <t>Sickness &amp; Disability</t>
  </si>
  <si>
    <t>Retirement</t>
  </si>
  <si>
    <t>Wellbeing</t>
  </si>
  <si>
    <t>Leaves </t>
  </si>
  <si>
    <t>Voluntary Benefits</t>
  </si>
  <si>
    <t>Perquisites and Allowances</t>
  </si>
  <si>
    <t>Flexible Benefits</t>
  </si>
  <si>
    <t>Transportation</t>
  </si>
  <si>
    <t>Life Insurance, AD&amp;D, Critical Illness</t>
  </si>
  <si>
    <t>Company Identifier</t>
  </si>
  <si>
    <t>jx60991c</t>
  </si>
  <si>
    <t>qz91861l</t>
  </si>
  <si>
    <t>hg94519c</t>
  </si>
  <si>
    <t>gp48379o</t>
  </si>
  <si>
    <t>zr52105b</t>
  </si>
  <si>
    <t>vh63686n</t>
  </si>
  <si>
    <t>tu77139q</t>
  </si>
  <si>
    <t>ae24641q</t>
  </si>
  <si>
    <t>mw75941c</t>
  </si>
  <si>
    <t>gm82580c</t>
  </si>
  <si>
    <t>qo18015z</t>
  </si>
  <si>
    <t>ua58591s</t>
  </si>
  <si>
    <t>fe56583t</t>
  </si>
  <si>
    <t>hb96156k</t>
  </si>
  <si>
    <t>ge16085j</t>
  </si>
  <si>
    <t>gj24244u</t>
  </si>
  <si>
    <t>fu12344q</t>
  </si>
  <si>
    <t>mg48857i</t>
  </si>
  <si>
    <t>sh88118m</t>
  </si>
  <si>
    <t>ak60734o</t>
  </si>
  <si>
    <t>au60104h</t>
  </si>
  <si>
    <t>xy48432q</t>
  </si>
  <si>
    <t>da55125s</t>
  </si>
  <si>
    <t>at45395b</t>
  </si>
  <si>
    <t>ic24983q</t>
  </si>
  <si>
    <t>mc53569f</t>
  </si>
  <si>
    <t>he15848x</t>
  </si>
  <si>
    <t>rm47578b</t>
  </si>
  <si>
    <t>yh41068m</t>
  </si>
  <si>
    <t>yl22211z</t>
  </si>
  <si>
    <t>ry22599q</t>
  </si>
  <si>
    <t>cy22200i</t>
  </si>
  <si>
    <t>uj80671t</t>
  </si>
  <si>
    <t>yr97450p</t>
  </si>
  <si>
    <t>ad76855t</t>
  </si>
  <si>
    <t>bz24889o</t>
  </si>
  <si>
    <t>nr46540r</t>
  </si>
  <si>
    <t>dv23566x</t>
  </si>
  <si>
    <t>jo82313m</t>
  </si>
  <si>
    <t>jx85340v</t>
  </si>
  <si>
    <t>mx16538k</t>
  </si>
  <si>
    <t>mn49834m</t>
  </si>
  <si>
    <t>ui51582k</t>
  </si>
  <si>
    <t>eh80657s</t>
  </si>
  <si>
    <t>dh66954a</t>
  </si>
  <si>
    <t>nx32150j</t>
  </si>
  <si>
    <t>dy56631u</t>
  </si>
  <si>
    <t>yu91209z</t>
  </si>
  <si>
    <t>lr63665d</t>
  </si>
  <si>
    <t>yg32591z</t>
  </si>
  <si>
    <t>uv72860g</t>
  </si>
  <si>
    <t>or38807x</t>
  </si>
  <si>
    <t>fz46897t</t>
  </si>
  <si>
    <t>re82842n</t>
  </si>
  <si>
    <t>jy67543l</t>
  </si>
  <si>
    <t>an79931b</t>
  </si>
  <si>
    <t>ih24752m</t>
  </si>
  <si>
    <t>jt34321b</t>
  </si>
  <si>
    <t>ac47269w</t>
  </si>
  <si>
    <t>go43136c</t>
  </si>
  <si>
    <t>jy32792o</t>
  </si>
  <si>
    <t>vd77241s</t>
  </si>
  <si>
    <t>Q2.8</t>
  </si>
  <si>
    <t>Q2.8_7_TEXT</t>
  </si>
  <si>
    <t>Q2.9</t>
  </si>
  <si>
    <t>Q2.10</t>
  </si>
  <si>
    <t>Q2.11_1_6</t>
  </si>
  <si>
    <t>Q2.11_2_6</t>
  </si>
  <si>
    <t>Q2.11_3_6</t>
  </si>
  <si>
    <t>Q2.11_4_6</t>
  </si>
  <si>
    <t>Q2.12_1</t>
  </si>
  <si>
    <t>Q2.12_2</t>
  </si>
  <si>
    <t>Q2.12_3</t>
  </si>
  <si>
    <t>Q2.13_1</t>
  </si>
  <si>
    <t>Q2.13_4</t>
  </si>
  <si>
    <t>Q2.13_5</t>
  </si>
  <si>
    <t>Q2.13_6</t>
  </si>
  <si>
    <t>Q2.13_7</t>
  </si>
  <si>
    <t>Q2.13_8</t>
  </si>
  <si>
    <t>Q2.13_9</t>
  </si>
  <si>
    <t>Q2.13_10</t>
  </si>
  <si>
    <t>Q2.13_11</t>
  </si>
  <si>
    <t>Q2.13_12</t>
  </si>
  <si>
    <t>Q2.13_13</t>
  </si>
  <si>
    <t>Q2.13_14</t>
  </si>
  <si>
    <t>Q2.13_15</t>
  </si>
  <si>
    <t>Q2.13_16</t>
  </si>
  <si>
    <t>Q2.13_17</t>
  </si>
  <si>
    <t>Q2.13_18</t>
  </si>
  <si>
    <t>Q2.13_19</t>
  </si>
  <si>
    <t>Q2.13_20</t>
  </si>
  <si>
    <t>Q2.13_21</t>
  </si>
  <si>
    <t>Q2.13_22</t>
  </si>
  <si>
    <t>Q2.13_23</t>
  </si>
  <si>
    <t>Q2.14</t>
  </si>
  <si>
    <t>Q2.14_13_TEXT</t>
  </si>
  <si>
    <t>Ontario</t>
  </si>
  <si>
    <t>42 years</t>
  </si>
  <si>
    <t>76%-100%</t>
  </si>
  <si>
    <t>Increased hearing aid allowance for all employees</t>
  </si>
  <si>
    <t>Increased age limit for Optional Life, Optional critical illness and LTD. Removed the age limit for benefit continuation for all other benefits</t>
  </si>
  <si>
    <t>Vision</t>
  </si>
  <si>
    <t>35 years</t>
  </si>
  <si>
    <t>Operations team was newly created and implemented to enhance the employee experience when employees have a company related inquiries</t>
  </si>
  <si>
    <t>Parental leave program was enhanced</t>
  </si>
  <si>
    <t>More comprehensive services were implemented to support employees with Mental Health</t>
  </si>
  <si>
    <t>Stress</t>
  </si>
  <si>
    <t>British Columbia</t>
  </si>
  <si>
    <t>34 years</t>
  </si>
  <si>
    <t>26%-50%</t>
  </si>
  <si>
    <t>51%-75%</t>
  </si>
  <si>
    <t>Benefit Road Show across Canada</t>
  </si>
  <si>
    <t xml:space="preserve">Introduction of Financial Wellness Programs, Onsite physio asessements </t>
  </si>
  <si>
    <t>Canada</t>
  </si>
  <si>
    <t>39 years</t>
  </si>
  <si>
    <t>Enhanced Life and AD&amp;D coverage</t>
  </si>
  <si>
    <t>Enhanced time off</t>
  </si>
  <si>
    <t>33 years</t>
  </si>
  <si>
    <t>44 years</t>
  </si>
  <si>
    <t>Other, please specify:</t>
  </si>
  <si>
    <t>Unknown as we are still trying to collect info of our benefits in Canada.</t>
  </si>
  <si>
    <t>Quebec</t>
  </si>
  <si>
    <t>40 years</t>
  </si>
  <si>
    <t>0%-25%</t>
  </si>
  <si>
    <t>added health care spending account</t>
  </si>
  <si>
    <t>added global hardship leave</t>
  </si>
  <si>
    <t>added TFSA</t>
  </si>
  <si>
    <t>expanded list of eligible items</t>
  </si>
  <si>
    <t>ADHD</t>
  </si>
  <si>
    <t>32 years</t>
  </si>
  <si>
    <t>Retirement funds were reviewed and updated to align with best market practice</t>
  </si>
  <si>
    <t>47 years</t>
  </si>
  <si>
    <t>2022 negotiated rates held flat or reduced for 2022.</t>
  </si>
  <si>
    <t>Skin disorders</t>
  </si>
  <si>
    <t>Global Flex PTO</t>
  </si>
  <si>
    <t>Rheumatiod Arthritis is our leading health risk, Cancer and Skin Disorders</t>
  </si>
  <si>
    <t>41 years</t>
  </si>
  <si>
    <t>Mental Health Parity and Awareness</t>
  </si>
  <si>
    <t>New Benefit Platform</t>
  </si>
  <si>
    <t>New Benefits Support Administrator</t>
  </si>
  <si>
    <t>45 years</t>
  </si>
  <si>
    <t>Did not disclose</t>
  </si>
  <si>
    <t>Increase of days of some time off</t>
  </si>
  <si>
    <t>New platform</t>
  </si>
  <si>
    <t>Increase on the fitness reimbursement amount</t>
  </si>
  <si>
    <t>changed health plan carrier</t>
  </si>
  <si>
    <t>added holiday for queen's passing</t>
  </si>
  <si>
    <t>unknown</t>
  </si>
  <si>
    <t>37 years</t>
  </si>
  <si>
    <t>Plan design enhancements</t>
  </si>
  <si>
    <t>36 years</t>
  </si>
  <si>
    <t>Investment line-up review and third pillar plan</t>
  </si>
  <si>
    <t>48 years</t>
  </si>
  <si>
    <t>49 years</t>
  </si>
  <si>
    <t>Added virtual exercise and mindfulness classes</t>
  </si>
  <si>
    <t>46 years</t>
  </si>
  <si>
    <t>We are looking at improving the quality and quantity of communications.</t>
  </si>
  <si>
    <t>We are looking to expand some US offerings into Canada</t>
  </si>
  <si>
    <t>Third Party Benefits Administrator</t>
  </si>
  <si>
    <t>Improving the overall employee experience on our internal portal for Benefits information</t>
  </si>
  <si>
    <t>Reducing some incentives and adding others</t>
  </si>
  <si>
    <t>skin disorders, rheumatoid arthristis</t>
  </si>
  <si>
    <t>New vendor</t>
  </si>
  <si>
    <t>renewal came back as a negative.</t>
  </si>
  <si>
    <t>TaskHuman roll out</t>
  </si>
  <si>
    <t>Rheumatoid Arthritis</t>
  </si>
  <si>
    <t>New carrier in 2022</t>
  </si>
  <si>
    <t>New benefits administration in 2022</t>
  </si>
  <si>
    <t>New voluntary offerings in 2022 (pet, legal, ID theft)</t>
  </si>
  <si>
    <t>30 years</t>
  </si>
  <si>
    <t>Increase paramedical services to $1,000/practitioner/year; Increase Vision to $300/24 months for adults/12 months for dependent children; Change Eye Exam frequency to 12 months for dependent children; o	Increase orthodontic lifetime maximum to $2,500 o	Increase Basic and Major annual maximum from $1,500 to $2,000</t>
  </si>
  <si>
    <t>Enhanced our short term disability benefit</t>
  </si>
  <si>
    <t>Added fertility services to our health plans, enhanced our vision and dental benefits</t>
  </si>
  <si>
    <t>Added Global Family Care Leave Policy</t>
  </si>
  <si>
    <t>implemented Kindbody for global family forming benefits</t>
  </si>
  <si>
    <t>All benefit content was published to a website</t>
  </si>
  <si>
    <t>Paid leave was approved and will be implemented 1/1/23</t>
  </si>
  <si>
    <t>Employees were granted access to Modern Health</t>
  </si>
  <si>
    <t>DPSP and RRSP were put in place with an employer match</t>
  </si>
  <si>
    <t>Increased coverage for Mental Health</t>
  </si>
  <si>
    <t>Increased Reimbursement for Wellness related activities</t>
  </si>
  <si>
    <t>Increased vacation allotment</t>
  </si>
  <si>
    <t>Implemented up to 10 weeks of paid Parental Leave</t>
  </si>
  <si>
    <t>Increased employer match</t>
  </si>
  <si>
    <t>Annual Renewal</t>
  </si>
  <si>
    <t>Spent time reviewing and enhancing leaves</t>
  </si>
  <si>
    <t>Launch benefits enrollment and payroll in Workday</t>
  </si>
  <si>
    <t>We do not receive specific claims data</t>
  </si>
  <si>
    <t>38 years</t>
  </si>
  <si>
    <t>RFP for RRSP provider</t>
  </si>
  <si>
    <t>Wellbeing resources provided</t>
  </si>
  <si>
    <t>Top health risks related to claims - drugs, paramedicals and vision care</t>
  </si>
  <si>
    <t>Mental health webinars</t>
  </si>
  <si>
    <t>RFP for Insurance and Retirement benefits</t>
  </si>
  <si>
    <t>Launch of Lumino Health Virtual Care, addition of paramedical providers (dietician, acupuncturist)</t>
  </si>
  <si>
    <t>Increased mental health coverage, annual mental health awareness week with tips &amp; resources, Overcoming Burnout interactive session offered to all employees in Canada</t>
  </si>
  <si>
    <t>GRRSP waiting period eliminated for company match, targeted GRRSP &amp; GTFSA education sessions, addition of two Shariah funds and one Environmental fund</t>
  </si>
  <si>
    <t>Annual virtual wellness week with tips &amp; resources</t>
  </si>
  <si>
    <t>Expansion of fertility benefits globally</t>
  </si>
  <si>
    <t>Expansion of global parental leave to 20 weeks for all parents, addition of new leave administrator for Canada</t>
  </si>
  <si>
    <t>Adding psychotherapists to Canadian coverage, expansion of new mental health provider globally</t>
  </si>
  <si>
    <t>Expanded mental health benefits</t>
  </si>
  <si>
    <t>Don't know</t>
  </si>
  <si>
    <t>Life insurance age limit eliminated and disability insurance age limit increased</t>
  </si>
  <si>
    <t>Increased weekly and monthly maximums</t>
  </si>
  <si>
    <t>Employee Feedback Sessions - Focus on benefits</t>
  </si>
  <si>
    <t>Added Gender Affirming Coverage</t>
  </si>
  <si>
    <t>Added Betterup Care</t>
  </si>
  <si>
    <t>Wellthy</t>
  </si>
  <si>
    <t>Added National Day for Truth and Reconciliation and 10 days of sick time</t>
  </si>
  <si>
    <t>Revised Benefits Intranet</t>
  </si>
  <si>
    <t>Tracking cost by program</t>
  </si>
  <si>
    <t>Implemented Fond</t>
  </si>
  <si>
    <t>New LOA vendor, moved to salary continuance</t>
  </si>
  <si>
    <t>Implemented Cleo, Fertility IQ, Grayce, Virgin Pulse</t>
  </si>
  <si>
    <t>Rheumatoid Arthritis, Central Nervous System</t>
  </si>
  <si>
    <t>Improved payroll audit process</t>
  </si>
  <si>
    <t>Implemented enhanced gender affirmation coverage</t>
  </si>
  <si>
    <t>Increased STD maximum</t>
  </si>
  <si>
    <t>Increased coverage limit and expanded provider coverage for mental health practitioners; expanded coverage for hearing aids and audiologists; added virtual health coverage; enhanced ortho and vision coverage.</t>
  </si>
  <si>
    <t>Expanded tuition reimbursement to Canada</t>
  </si>
  <si>
    <t>Expanded COVID and bereavement time off.</t>
  </si>
  <si>
    <t>Implementing Modern Health</t>
  </si>
  <si>
    <t>Increased RRSP match and eliminated YOS tier requirements</t>
  </si>
  <si>
    <t>Implementing new PTO/time off policy</t>
  </si>
  <si>
    <t>skin disorder/acne</t>
  </si>
  <si>
    <t>implemented The Larkin Company for LOA management</t>
  </si>
  <si>
    <t>changed vendors to Modern Health</t>
  </si>
  <si>
    <t>began implementation of an RRSP with an Employer match</t>
  </si>
  <si>
    <t>added 4 additional holidays at the end of the year</t>
  </si>
  <si>
    <t>Increased Wellness dollars and also began offering certified financial planners</t>
  </si>
  <si>
    <t>RRSP/DPSP contribution audits and Benefits coverage and headcount audits</t>
  </si>
  <si>
    <t>DE&amp;I report</t>
  </si>
  <si>
    <t>Automated benefits enrollment, online beneficiary, and custom html website for retirement plan</t>
  </si>
  <si>
    <t>Free virtual mental health care and increase mental health paramedical maximum and network</t>
  </si>
  <si>
    <t>Completed a full benefits/leaves country benchmark - recommendations yet to be implemented</t>
  </si>
  <si>
    <t>Statutory vacation time and pay</t>
  </si>
  <si>
    <t>Dermatology, Genitourinary</t>
  </si>
  <si>
    <t>Data, Demographic, Enrollment, Dependent, Salary</t>
  </si>
  <si>
    <t>Renewal Communications on 4/1/2022 for enhancements to plan</t>
  </si>
  <si>
    <t>Yes</t>
  </si>
  <si>
    <t>Inflammatory conditions</t>
  </si>
  <si>
    <t>Added Virtual Health program (Consult+)</t>
  </si>
  <si>
    <t>Held live retirement webinar with Canada Life</t>
  </si>
  <si>
    <t>M.S. &amp; Rheumatoid Arthritis</t>
  </si>
  <si>
    <t>Increased coverage for eye glasses; Implemented 12 months of coverage for family members of employees that pass away</t>
  </si>
  <si>
    <t>Expanded paid parental from 10 weeks to 14 weeks</t>
  </si>
  <si>
    <t>Implemented separate paramedical max for mental health providers, separate from all other providers</t>
  </si>
  <si>
    <t>Began recognizing National Day of Truth and Reconciliation as a paid holiday</t>
  </si>
  <si>
    <t>Launched a benefits communication page</t>
  </si>
  <si>
    <t>Expansion of paid parental leave</t>
  </si>
  <si>
    <t>Increased employee self-serve options</t>
  </si>
  <si>
    <t>Streamlining employee benefits portal</t>
  </si>
  <si>
    <t>Rolling out a new vacation policy</t>
  </si>
  <si>
    <t>Added spending accounts</t>
  </si>
  <si>
    <t>Added fertility benefits and gender affirmation coverage</t>
  </si>
  <si>
    <t>Increased psychology allowance</t>
  </si>
  <si>
    <t>Non-evidence maximum was increased</t>
  </si>
  <si>
    <t>Introduction of a combined allowed amount for all eligible paramedical practitioners, Annual maximum for basic and major services has increased</t>
  </si>
  <si>
    <t>Implementing a plan effective 11/1/2022</t>
  </si>
  <si>
    <t>Q3.2</t>
  </si>
  <si>
    <t>Q3.3</t>
  </si>
  <si>
    <t>Q3.4</t>
  </si>
  <si>
    <t>Q3.4_7_TEXT</t>
  </si>
  <si>
    <t>Q3.5</t>
  </si>
  <si>
    <t>Q3.5_8_TEXT</t>
  </si>
  <si>
    <t>Q3.6</t>
  </si>
  <si>
    <t>Q3.6_8_TEXT</t>
  </si>
  <si>
    <t>Q3.7</t>
  </si>
  <si>
    <t>Q3.8</t>
  </si>
  <si>
    <t>Q3.9</t>
  </si>
  <si>
    <t>Q3.10</t>
  </si>
  <si>
    <t>Q3.11</t>
  </si>
  <si>
    <t>Q3.11_8_TEXT</t>
  </si>
  <si>
    <t>Q3.12</t>
  </si>
  <si>
    <t>Q3.13</t>
  </si>
  <si>
    <t>Q3.15</t>
  </si>
  <si>
    <t>Q3.16</t>
  </si>
  <si>
    <t>Q3.17</t>
  </si>
  <si>
    <t>Q3.18</t>
  </si>
  <si>
    <t>Q3.19</t>
  </si>
  <si>
    <t>Q3.20</t>
  </si>
  <si>
    <t>Q3.21</t>
  </si>
  <si>
    <t>Q3.22</t>
  </si>
  <si>
    <t>Q3.23</t>
  </si>
  <si>
    <t>Q3.24</t>
  </si>
  <si>
    <t>Q3.25</t>
  </si>
  <si>
    <t>Q3.26</t>
  </si>
  <si>
    <t>Q3.27</t>
  </si>
  <si>
    <t>Q3.28</t>
  </si>
  <si>
    <t>Q3.29</t>
  </si>
  <si>
    <t>Q3.30</t>
  </si>
  <si>
    <t>Q3.31</t>
  </si>
  <si>
    <t>Q3.32</t>
  </si>
  <si>
    <t>Q3.33</t>
  </si>
  <si>
    <t>Q3.33_4_TEXT</t>
  </si>
  <si>
    <t>Q3.34</t>
  </si>
  <si>
    <t>Q3.35</t>
  </si>
  <si>
    <t>Q3.36</t>
  </si>
  <si>
    <t>Q3.37</t>
  </si>
  <si>
    <t>Q3.38</t>
  </si>
  <si>
    <t>Q3.39</t>
  </si>
  <si>
    <t>Q3.40</t>
  </si>
  <si>
    <t>Q3.41</t>
  </si>
  <si>
    <t>Q3.42</t>
  </si>
  <si>
    <t>Q3.43</t>
  </si>
  <si>
    <t>Q3.44_1</t>
  </si>
  <si>
    <t>Q3.44_2</t>
  </si>
  <si>
    <t>Q3.44_3</t>
  </si>
  <si>
    <t>Q3.44_4</t>
  </si>
  <si>
    <t>Q3.44_5</t>
  </si>
  <si>
    <t>Q3.45</t>
  </si>
  <si>
    <t>Q3.47</t>
  </si>
  <si>
    <t>Q3.47_5_TEXT</t>
  </si>
  <si>
    <t>Q3.48</t>
  </si>
  <si>
    <t>Q3.48_9_TEXT</t>
  </si>
  <si>
    <t>Q3.49</t>
  </si>
  <si>
    <t>Q3.50</t>
  </si>
  <si>
    <t>Q3.51</t>
  </si>
  <si>
    <t>Q3.52</t>
  </si>
  <si>
    <t>Employee and eligible dependents</t>
  </si>
  <si>
    <t>21 years</t>
  </si>
  <si>
    <t>25 years</t>
  </si>
  <si>
    <t>No</t>
  </si>
  <si>
    <t>$650 every 5 years</t>
  </si>
  <si>
    <t>Company pays full cost</t>
  </si>
  <si>
    <t>Carrier insured</t>
  </si>
  <si>
    <t>Canada Life</t>
  </si>
  <si>
    <t>$750 every 5 years</t>
  </si>
  <si>
    <t>Company and employee share cost</t>
  </si>
  <si>
    <t>Percentage</t>
  </si>
  <si>
    <t>Everyone pays 20% out of pocket to max of $200 per plan year; company pay 100% thereafter</t>
  </si>
  <si>
    <t>Self-insured</t>
  </si>
  <si>
    <t>Sun Life</t>
  </si>
  <si>
    <t>Under consideration</t>
  </si>
  <si>
    <t>Maximum in respect of (e) hearing aids under 4. Appliances and Supplies:$500 per insured person in any period of 60 consecutive months</t>
  </si>
  <si>
    <t>The method for employee cost sharing is through payroll deductions</t>
  </si>
  <si>
    <t>Equitable Life</t>
  </si>
  <si>
    <t>$500 per 5 calendar years</t>
  </si>
  <si>
    <t>Manulife</t>
  </si>
  <si>
    <t>$500 every 5 calendar years</t>
  </si>
  <si>
    <t>$400 pair every 5 years</t>
  </si>
  <si>
    <t>preventative, comprehensive, and premium for medical and dental</t>
  </si>
  <si>
    <t>Flex credits and price tags based on coverage option and coverage category</t>
  </si>
  <si>
    <t>Desjardins</t>
  </si>
  <si>
    <t>None of the above</t>
  </si>
  <si>
    <t>CAD 400 per 5 calendar years, and including installation, repair and maintenance of Hearing aids (including charges for batteries)</t>
  </si>
  <si>
    <t>Yes, all employees have the same waiting period</t>
  </si>
  <si>
    <t>$700 every 5 years</t>
  </si>
  <si>
    <t>marriage counsellor, psychotherapist, dietician</t>
  </si>
  <si>
    <t>10% employee paid and 90% employer paid employer paid is considered taxable benefit on the EE's paystub.</t>
  </si>
  <si>
    <t>18 years</t>
  </si>
  <si>
    <t>$500 every 4 calendar years</t>
  </si>
  <si>
    <t>$500 per 48 months.</t>
  </si>
  <si>
    <t>Hearing Aids: $3,600 or $1,800 per hearing aid, once every 5 calendar years</t>
  </si>
  <si>
    <t>$1,200 year if ee opts out of Health, $1,200 if ee opts out of Dental</t>
  </si>
  <si>
    <t>$700CAD every 5 years</t>
  </si>
  <si>
    <t>24 years</t>
  </si>
  <si>
    <t>Smoking cessation aids</t>
  </si>
  <si>
    <t>$500 every 5 years</t>
  </si>
  <si>
    <t>Yes, different employee groups have different waiting periods</t>
  </si>
  <si>
    <t>0 for regular employees. 90 days for temporary employees</t>
  </si>
  <si>
    <t>For some only</t>
  </si>
  <si>
    <t>$1,500 every 4 calendar years</t>
  </si>
  <si>
    <t>Employee only $500, EE +1 $650, EE +2 $750</t>
  </si>
  <si>
    <t>Fertility drugs</t>
  </si>
  <si>
    <t>up to a maximum of $500 per person in any 5 benefit year  (repairs included)</t>
  </si>
  <si>
    <t>4 Options: Option 1 - Opt out Option 2 - 20% reimbursement Option 3 - 80% reimbursement Option 4 - 90% reimbursement</t>
  </si>
  <si>
    <t>$500 every 3 years</t>
  </si>
  <si>
    <t>Other</t>
  </si>
  <si>
    <t>Flex pricing based on option and coverage level. Company sets the price and allocates flex credits for the employee to offset the costs. Any difference is employee funded.</t>
  </si>
  <si>
    <t>Flex pricing based on option and coverage level. Company set the price and provide the employee with flex credits to offset the costs. Employee funds the difference. Cost share is about 80/20.</t>
  </si>
  <si>
    <t>Excess flex dollars are allocated to the HCSA. Company provides incentive to earn flex dollars through wellness program.</t>
  </si>
  <si>
    <t>AIDS/HIV treatment</t>
  </si>
  <si>
    <t>Up to $400 per insured person in any 5 consecutive calendar years.</t>
  </si>
  <si>
    <t>Industrial Alliance</t>
  </si>
  <si>
    <t>Option 1: $5M per lifetime benefit maximum  Option 2, 3 and 4: $M per lifetime benefit maximum All options: no deductible  Drug dispensing fee: Option 1 - n/a Option 2, 3 and 4, $8 per Rx, for maintenance drugs no more than 4 dispensing fees will be paid per 12 consecutive months  Benefit Percentage (Co-insurance) Option 1: 100% for out-of-Canada emergency medical treatment Option 2: 20% for dynamic therapeutic formulary drugs and 20% for ManuScript Generic Drug Pln 2 20% for Medical, services and supplies; professional services and vision  Option 3:  80% for Medical services and supplies; professional services; vision (other than visual training); hospital care; referral outside Canada for medical treatment available in Canada.  80% of expenses up to the out-of-pocket maximum; and 100% thereafter for Dynamic Therapeutic Formulary Drugs  50% of expenses up to the out-of-pocket maximum and 100% thereafter for ManuScript Generic Drug Plan 2  50% for Vision (Visual Training)  Option 4: 90% for medical services and supplies; professional services; vision (other than Visual Training); hospital care; referral outside Canada for Medical Treatment Available in Canada.  90% of expenses up to the out-of-pocket maximum; and 100% thereafter for Dynamic Therapeutic Formulary Drugs; 60% of expenses up to the out-of-pocket maximum, and 100% thereafter for ManuScript Generic Drug Plan 2  50% for Vision (Visual Training)  For all plans: The Benefit Percentage for out-of-Canada Emergency Medical Treatment is 100% The Benefit Percentage for Emergency Travel Assistance is 100%  Out-of-Pocket Maximum: Option 1 and 2 - not applicable Option 3: $770 per calendar year for singe; $1,100 per calendar year for family coverage Option 4: $385 per calendar year for single; and $550 per calendar year for family coverage</t>
  </si>
  <si>
    <t>Cost, installation, repair and maintenance of hearing aids (including charges for batteries) up to the following maximums: $300 every 5 consecutive calendar years.</t>
  </si>
  <si>
    <t>$500 per person over 4 benefit years Repairs are included in this maximum</t>
  </si>
  <si>
    <t>Up to a maximum of $500 per person over a period of 5 benefit years.  Repairs are included in this maximum</t>
  </si>
  <si>
    <t>700 every 5 years</t>
  </si>
  <si>
    <t>hearing aids and repairs to them, excluding batteries, limited to a maximum of $750 for eligible expenses incurred during a 5 year period.</t>
  </si>
  <si>
    <t>3 months</t>
  </si>
  <si>
    <t>The main difference are the different levels of maximums for practitioner coverages.</t>
  </si>
  <si>
    <t>$700 every 3 years</t>
  </si>
  <si>
    <t>Flat amount</t>
  </si>
  <si>
    <t>Varies by tier; Employee portion consistent to EE only coverage.</t>
  </si>
  <si>
    <t>Medavie Blue Cross</t>
  </si>
  <si>
    <t>Employees choose how much they want ER to contribute</t>
  </si>
  <si>
    <t>$500 per insured person in any period of 36 consecutive months</t>
  </si>
  <si>
    <t>$500 every five rolling years</t>
  </si>
  <si>
    <t>Cover 90% for dependents</t>
  </si>
  <si>
    <t>cost, installation, repair and maintenance of hearing aids, (including charges for batteries) to a maximum of $500 per 5 calendar years.</t>
  </si>
  <si>
    <t>Employee only</t>
  </si>
  <si>
    <t>Actuarial analysis</t>
  </si>
  <si>
    <t>Varies based on single coverage or family coverage</t>
  </si>
  <si>
    <t>Infertility Treatment - we cover the prescription side only</t>
  </si>
  <si>
    <t>$2,000 every 5 years</t>
  </si>
  <si>
    <t>The maximum payable is $500.00 per person over a 60 consecutive month period.</t>
  </si>
  <si>
    <t>GroupSource</t>
  </si>
  <si>
    <t>$500 every 3 calendar years</t>
  </si>
  <si>
    <t>Preauthorization applies for some drugs.</t>
  </si>
  <si>
    <t>$500 per person in any 60 month period. Repairs and batteries are included in this maximum.</t>
  </si>
  <si>
    <t>Maximum $500 every 5 years.</t>
  </si>
  <si>
    <t>$750 for employees in Vancouver, $0 for other provinces</t>
  </si>
  <si>
    <t>700/5 years</t>
  </si>
  <si>
    <t>$500 per 5 calendar year(s)</t>
  </si>
  <si>
    <t>$400 per 5 calendar years</t>
  </si>
  <si>
    <t>$5,000 per person every 3 years</t>
  </si>
  <si>
    <t>150 employee only or 300 family</t>
  </si>
  <si>
    <t>$500 per person over a period of 5 benefit years. This includes repairs.</t>
  </si>
  <si>
    <t>Employee medical premium Single = $13.57/month Family = $37.50/month</t>
  </si>
  <si>
    <t>$1,000 per person over 3 benefit years Repairs are included in this maximum</t>
  </si>
  <si>
    <t>Hearing Aids $500 every 5 years</t>
  </si>
  <si>
    <t>19 years</t>
  </si>
  <si>
    <t>private hospital room, eap, fertility drugs coverage, and virtual mental health</t>
  </si>
  <si>
    <t>$700 per covered person per period of 60 consecutive months.</t>
  </si>
  <si>
    <t>CAD 500 every 5 years</t>
  </si>
  <si>
    <t>employee 15%</t>
  </si>
  <si>
    <t>No Substitution Prescriptions - If your prescription contains a written direction from your physician or dentist that the prescribed drug is not to be substituted with another product and the drug is a covered expense under this benefit, then the full cost of the prescribed product is Covered.</t>
  </si>
  <si>
    <t>$500 per 5 calendar year(s) Includes cost, installation, repair and maintenance of Hearing Aids (including charges for batteries)</t>
  </si>
  <si>
    <t>$1,000 per 5 calendar year(s)</t>
  </si>
  <si>
    <t>Christian Science Practitioners, Prosthetic equiptment</t>
  </si>
  <si>
    <t>$700/3 calendar years</t>
  </si>
  <si>
    <t>Medavie</t>
  </si>
  <si>
    <t>$2,000 per person per ear over 5 benefit years.</t>
  </si>
  <si>
    <t>$300 individual, $500 family</t>
  </si>
  <si>
    <t>Q4.2</t>
  </si>
  <si>
    <t>Q4.3</t>
  </si>
  <si>
    <t>Q4.4</t>
  </si>
  <si>
    <t>Q4.4_7_TEXT</t>
  </si>
  <si>
    <t>Q4.5</t>
  </si>
  <si>
    <t>Q4.6</t>
  </si>
  <si>
    <t>Q4.7</t>
  </si>
  <si>
    <t>Q4.8</t>
  </si>
  <si>
    <t>Q4.9</t>
  </si>
  <si>
    <t>Q4.11</t>
  </si>
  <si>
    <t>Q4.11_12_TEXT</t>
  </si>
  <si>
    <t>Q4.12</t>
  </si>
  <si>
    <t>Q4.13</t>
  </si>
  <si>
    <t>Q4.14</t>
  </si>
  <si>
    <t>Q4.15</t>
  </si>
  <si>
    <t>Q4.16</t>
  </si>
  <si>
    <t>Q4.17</t>
  </si>
  <si>
    <t>Q4.17_5_TEXT</t>
  </si>
  <si>
    <t>Q4.18</t>
  </si>
  <si>
    <t>Q4.19</t>
  </si>
  <si>
    <t>Q4.20</t>
  </si>
  <si>
    <t>Q4.20_8_TEXT</t>
  </si>
  <si>
    <t>Q4.21_2</t>
  </si>
  <si>
    <t>Q4.21_5</t>
  </si>
  <si>
    <t>Q4.21_6</t>
  </si>
  <si>
    <t>Q4.21_7</t>
  </si>
  <si>
    <t>Q4.21_8</t>
  </si>
  <si>
    <t>Q4.21_9</t>
  </si>
  <si>
    <t>Q4.22</t>
  </si>
  <si>
    <t>Q4.23</t>
  </si>
  <si>
    <t>Q4.24</t>
  </si>
  <si>
    <t>Q4.25</t>
  </si>
  <si>
    <t>Q4.26</t>
  </si>
  <si>
    <t>Q4.27</t>
  </si>
  <si>
    <t>Q4.28</t>
  </si>
  <si>
    <t>Q4.29</t>
  </si>
  <si>
    <t>Q4.30_1</t>
  </si>
  <si>
    <t>Q4.30_2</t>
  </si>
  <si>
    <t>Q4.30_3</t>
  </si>
  <si>
    <t>Q4.30_4</t>
  </si>
  <si>
    <t>Q4.30_5</t>
  </si>
  <si>
    <t>Q4.31</t>
  </si>
  <si>
    <t>Q4.33</t>
  </si>
  <si>
    <t>Q4.33_5_TEXT</t>
  </si>
  <si>
    <t>Q4.34</t>
  </si>
  <si>
    <t>Q4.34_6_TEXT</t>
  </si>
  <si>
    <t>Q4.35</t>
  </si>
  <si>
    <t>Q4.36</t>
  </si>
  <si>
    <t>Q4.36_9_TEXT</t>
  </si>
  <si>
    <t>Q4.38</t>
  </si>
  <si>
    <t>Q4.39</t>
  </si>
  <si>
    <t>Q4.40</t>
  </si>
  <si>
    <t>Q4.40_7_TEXT</t>
  </si>
  <si>
    <t>Q4.41</t>
  </si>
  <si>
    <t>Q4.42</t>
  </si>
  <si>
    <t>Q4.43</t>
  </si>
  <si>
    <t>Q4.44</t>
  </si>
  <si>
    <t>Q4.45</t>
  </si>
  <si>
    <t>Q4.47</t>
  </si>
  <si>
    <t>Q4.48</t>
  </si>
  <si>
    <t>Q4.49</t>
  </si>
  <si>
    <t>Q4.49_8_TEXT</t>
  </si>
  <si>
    <t>Q4.50_1</t>
  </si>
  <si>
    <t>Q4.50_2</t>
  </si>
  <si>
    <t>Q4.50_3</t>
  </si>
  <si>
    <t>Q4.50_4</t>
  </si>
  <si>
    <t>Q4.50_5</t>
  </si>
  <si>
    <t>Q4.50_6</t>
  </si>
  <si>
    <t>Q4.51</t>
  </si>
  <si>
    <t>Q4.52_1_6</t>
  </si>
  <si>
    <t>Q4.52_2_6</t>
  </si>
  <si>
    <t>Q4.52_3_6</t>
  </si>
  <si>
    <t>Q4.52_4_6</t>
  </si>
  <si>
    <t>Q4.52_5_6</t>
  </si>
  <si>
    <t>Q4.52_6_6</t>
  </si>
  <si>
    <t>Q4.53</t>
  </si>
  <si>
    <t>Q4.54</t>
  </si>
  <si>
    <t>Q4.55</t>
  </si>
  <si>
    <t>Q4.56</t>
  </si>
  <si>
    <t>Q4.57</t>
  </si>
  <si>
    <t>Q4.58</t>
  </si>
  <si>
    <t>Q4.59</t>
  </si>
  <si>
    <t>Q4.60</t>
  </si>
  <si>
    <t>Q4.61_1</t>
  </si>
  <si>
    <t>Q4.61_2</t>
  </si>
  <si>
    <t>Q4.61_3</t>
  </si>
  <si>
    <t>Q4.61_4</t>
  </si>
  <si>
    <t>Q4.61_5</t>
  </si>
  <si>
    <t>Q4.62</t>
  </si>
  <si>
    <t>Q4.64</t>
  </si>
  <si>
    <t>Q4.64_5_TEXT</t>
  </si>
  <si>
    <t>Q4.65</t>
  </si>
  <si>
    <t>Q4.65_6_TEXT</t>
  </si>
  <si>
    <t>Q4.66</t>
  </si>
  <si>
    <t>Q4.67</t>
  </si>
  <si>
    <t>Q4.67_9_TEXT</t>
  </si>
  <si>
    <t>Children</t>
  </si>
  <si>
    <t>Rider to a supplemental medical insurance policy</t>
  </si>
  <si>
    <t>1 every 24 months</t>
  </si>
  <si>
    <t>1 every 12 months</t>
  </si>
  <si>
    <t>Dependent Children under age 12: $250 combined benefit every 12 consecutive months All Others: $350 combined benefit every 24 consecutive months</t>
  </si>
  <si>
    <t>Yes, both preventive and restorative</t>
  </si>
  <si>
    <t>Adults,Children</t>
  </si>
  <si>
    <t>Basic Services, Restorative Services and Orthondics</t>
  </si>
  <si>
    <t>Yes, restorative only</t>
  </si>
  <si>
    <t>Method for employee cost sharing for dependent coverage is through payroll deductions.</t>
  </si>
  <si>
    <t>Overall dental coverage</t>
  </si>
  <si>
    <t>Limit per 2 calendar months</t>
  </si>
  <si>
    <t>Per lifetime</t>
  </si>
  <si>
    <t>Depends if the new EEs are new residents to Canada, if so, there is 3 month waiting period</t>
  </si>
  <si>
    <t>Preventative, comprehensive, and premium</t>
  </si>
  <si>
    <t>Diagnostic and preventive (includes X-rays, exams, cleaning, sealants)</t>
  </si>
  <si>
    <t>Basic preventive</t>
  </si>
  <si>
    <t>Depending if employee is a new Canada resident, waiting period is 3 months</t>
  </si>
  <si>
    <t>Comprehensive and Premium</t>
  </si>
  <si>
    <t>No limit</t>
  </si>
  <si>
    <t>laser surgery</t>
  </si>
  <si>
    <t>cost sharing 10% ee and 90% employer</t>
  </si>
  <si>
    <t>Standalone policy</t>
  </si>
  <si>
    <t>$250 combined every 24 months</t>
  </si>
  <si>
    <t>laser eye correction surgery</t>
  </si>
  <si>
    <t>1 every calendar year</t>
  </si>
  <si>
    <t>We have three plans with variation on the percent of coverage and the cap in some services such as preventive, major restorative, orthodontics, accidental, etc.</t>
  </si>
  <si>
    <t>Accidental</t>
  </si>
  <si>
    <t>The maximum is the cap</t>
  </si>
  <si>
    <t>Will depend on the service</t>
  </si>
  <si>
    <t>For the policy, the company pays the cost, but the services employee pays full cost and receives a percentage of reimbursement with a cap depending on the service</t>
  </si>
  <si>
    <t>Employee pays full cost for the services and gets a % of reimbursement depending on the plan that has with a cap</t>
  </si>
  <si>
    <t>laser eye surgery</t>
  </si>
  <si>
    <t>0 for Regular employees, 90 for temporary employees</t>
  </si>
  <si>
    <t>0 for regular employees, 90 for temporary employees</t>
  </si>
  <si>
    <t>included in supplemental health cost</t>
  </si>
  <si>
    <t>Benefit year May 1st to April 30st Deductible No deductible  Dental Fee Guide The current fee guide for general practitioners, approved by the Dental  Association in the province where the treatment is received.  Check-up frequency 1 every 5 months Preventive* and Basic Services* 100%, with a combined maximum of $2,000 per benefit year per person  Major Services* 60%  With a maximum of 1,500 per benefit year per person  Orthodontics* 60%  Lifetime maximum of $3,000 per person  Coverage ends When employee retires or reaches age 80.  Coverage may also end on an earlier date, as specified in the benefit   booklet under the General Information.  * coverage is subject to reasonable and customary amounts and the dental fee guide</t>
  </si>
  <si>
    <t>Vision care* 100% up to a maximum of $400 in any 24 month period,  or in any 12 month period for eligible dependents under age 18</t>
  </si>
  <si>
    <t>4 Options: Option 1 - Opt Out Option 2 - 80% basic services Option 3 - 80% basic and major services Option 4 - 90% basic and major services; 50% ortho</t>
  </si>
  <si>
    <t>Same as medical</t>
  </si>
  <si>
    <t>Option 3 - $150 every 2 years Option 4 - $250 every 2 years</t>
  </si>
  <si>
    <t>Part of medical program</t>
  </si>
  <si>
    <t>Same as medical program</t>
  </si>
  <si>
    <t>Option 2 - 80% for Basic services; 80% for supplementary basic services Option 3 - 80% for basic services; 80% for supplementary basic services; 50% for dentures; 50% for major restorative services Option 4 - 90% for basic services; 90% for supplementary basic services; 50% for dentures; 50% for major restorative services; 50% for orthodontics</t>
  </si>
  <si>
    <t>Option 2: 20% vision coverage Option 3: 80% vision coverage Option 4: 90% vision coverage</t>
  </si>
  <si>
    <t>Great-West Life Assurance Company</t>
  </si>
  <si>
    <t>2,000 lifetime</t>
  </si>
  <si>
    <t>No deductibles. 80% of all basic-level dental services (fillings, extractions, root canals, etc.) 80% of major restorative care (up to $1,500 a year) 50% of orthodontic care (up to a lifetime maximum of $2,000)</t>
  </si>
  <si>
    <t>Employer covers costs up to $250 (in Total) every calendar year</t>
  </si>
  <si>
    <t>Part of medical plan</t>
  </si>
  <si>
    <t>Higher level of coverage in higher tier, also includes Orthodontics in higher tier only.</t>
  </si>
  <si>
    <t>Varies by tier</t>
  </si>
  <si>
    <t>Higher coverage includes glasses and contacts</t>
  </si>
  <si>
    <t>Basic Services and Major Restorative Services</t>
  </si>
  <si>
    <t>Company pays 90%</t>
  </si>
  <si>
    <t>Included in medical plan</t>
  </si>
  <si>
    <t>Three plan options</t>
  </si>
  <si>
    <t>Orthodontics is only for eligible dependents under a certain age</t>
  </si>
  <si>
    <t>Complex actuarial analysis</t>
  </si>
  <si>
    <t>Option 1 no coverage, maximum flex credit left to allow coordination with family; Option 2 provide moderate coverage; Option 3 provide most comprehensive coverage</t>
  </si>
  <si>
    <t>Excess amount over a flat company contribution</t>
  </si>
  <si>
    <t>Same as employee</t>
  </si>
  <si>
    <t>Orthodontics lifetime max</t>
  </si>
  <si>
    <t>$250 combined (glasses, contacts and laser eye surgery) every 24 months</t>
  </si>
  <si>
    <t>Visual training</t>
  </si>
  <si>
    <t>$200/lifetime</t>
  </si>
  <si>
    <t>Basic, endodontic and periodontal - 100%; Major Restorative Services $3,000.00; Orthodontics $3,000.00</t>
  </si>
  <si>
    <t>$3,000.00 for basic, endodontic, periodontal and major restorative services combined; $3,000.00 lifetime benefit for orthodontic treatement</t>
  </si>
  <si>
    <t>Children under age 18 exams covered every 12 months</t>
  </si>
  <si>
    <t>Children are eligible for orthodontia.</t>
  </si>
  <si>
    <t>Dependent children under the age of 18 can have an eye exam every 12 months. Dependent children under the age of 19 can obtain glasses, contact lenses and laser eye surgery every 12 months.</t>
  </si>
  <si>
    <t>In the orange module, vision is not covered. In the blue module there is 100% coverage up to a maximum of $200 per person every 24 months. In the purple module there is 100% coverage up to a maximum of $400 per person every 24 months.</t>
  </si>
  <si>
    <t>All other expenses</t>
  </si>
  <si>
    <t>The maximum amount payable of $300 is per every year for a dependent child under 19</t>
  </si>
  <si>
    <t>Orthodontia for dependent children only</t>
  </si>
  <si>
    <t>1 every other calendar year</t>
  </si>
  <si>
    <t>Implants and prosthodontics</t>
  </si>
  <si>
    <t>Person under age 21 frequency is every 12 months</t>
  </si>
  <si>
    <t>Laser Eye Correction</t>
  </si>
  <si>
    <t>Employee premium Single coverage = $7.07/month Family coverage = $19.88/month</t>
  </si>
  <si>
    <t>Laser eye surgery</t>
  </si>
  <si>
    <t>Vision premium included in medical  Eye exam = 1 every 24 months Contacts, Lenses, Laser Eye Surgery = $200 combined every 24 months</t>
  </si>
  <si>
    <t>Employee pays full cost</t>
  </si>
  <si>
    <t>Dollar limit every 24 months, not a frequency limit.</t>
  </si>
  <si>
    <t>Dependents under age 18 get $250 every 12 months instead of every 24 months.</t>
  </si>
  <si>
    <t>All other except for dental accident</t>
  </si>
  <si>
    <t>Rider to some other policy</t>
  </si>
  <si>
    <t>health care</t>
  </si>
  <si>
    <t>lasik</t>
  </si>
  <si>
    <t>employee pay 15%</t>
  </si>
  <si>
    <t>Not a standalone policy - but is a separate benefit under the same policy as Health and Vision.</t>
  </si>
  <si>
    <t>Basic Lenses: $250 every 24 months Contacts: $250 every 24 months</t>
  </si>
  <si>
    <t>Built into the Extended Health Policy</t>
  </si>
  <si>
    <t>Glasses, Contact Lenses and Laser Eye Surgery - dependent children under age 19, $250 combined each calendar year - all others $250 combined every 2 calendar years Contact Lenses for Special Conditions - dependent children under age 19, $200 combined each calendar year - all others $200 combined</t>
  </si>
  <si>
    <t>$3,000 lifetime limit for orthodontics</t>
  </si>
  <si>
    <t>Vision is part of the medical coverage plan through Manulife</t>
  </si>
  <si>
    <t>Q5.2</t>
  </si>
  <si>
    <t>Q5.3</t>
  </si>
  <si>
    <t>Q5.4</t>
  </si>
  <si>
    <t>Q5.4_7_TEXT</t>
  </si>
  <si>
    <t>Q5.5</t>
  </si>
  <si>
    <t>Q5.6</t>
  </si>
  <si>
    <t>Q5.7</t>
  </si>
  <si>
    <t>Q5.8</t>
  </si>
  <si>
    <t>Q5.9</t>
  </si>
  <si>
    <t>Q5.10</t>
  </si>
  <si>
    <t>Q5.10_9_TEXT</t>
  </si>
  <si>
    <t>Q5.11</t>
  </si>
  <si>
    <t>Q5.11_7_TEXT</t>
  </si>
  <si>
    <t>Q5.12</t>
  </si>
  <si>
    <t>Q5.13</t>
  </si>
  <si>
    <t>Q5.14</t>
  </si>
  <si>
    <t>Q5.15</t>
  </si>
  <si>
    <t>Q5.16</t>
  </si>
  <si>
    <t>Q5.17</t>
  </si>
  <si>
    <t>Q5.18</t>
  </si>
  <si>
    <t>Q5.19</t>
  </si>
  <si>
    <t>Q5.20</t>
  </si>
  <si>
    <t>Q5.20_7_TEXT</t>
  </si>
  <si>
    <t>Q5.21</t>
  </si>
  <si>
    <t>Q5.22</t>
  </si>
  <si>
    <t>Q5.23</t>
  </si>
  <si>
    <t>Q5.24</t>
  </si>
  <si>
    <t>Q5.25</t>
  </si>
  <si>
    <t>Q5.26</t>
  </si>
  <si>
    <t>Q5.27</t>
  </si>
  <si>
    <t>Q5.29</t>
  </si>
  <si>
    <t>Q5.29_5_TEXT</t>
  </si>
  <si>
    <t>Q5.30</t>
  </si>
  <si>
    <t>Q5.30_9_TEXT</t>
  </si>
  <si>
    <t>Q5.32</t>
  </si>
  <si>
    <t>Q5.33</t>
  </si>
  <si>
    <t>Q5.34</t>
  </si>
  <si>
    <t>Q5.34_7_TEXT</t>
  </si>
  <si>
    <t>Q5.35</t>
  </si>
  <si>
    <t>Q5.36</t>
  </si>
  <si>
    <t>Q5.37</t>
  </si>
  <si>
    <t>Q5.38</t>
  </si>
  <si>
    <t>Q5.38_6_TEXT</t>
  </si>
  <si>
    <t>Q5.39</t>
  </si>
  <si>
    <t>Q5.40</t>
  </si>
  <si>
    <t>Q5.41_9_TEXT</t>
  </si>
  <si>
    <t>Q5.42</t>
  </si>
  <si>
    <t>Q5.42_7_TEXT</t>
  </si>
  <si>
    <t>Q5.43</t>
  </si>
  <si>
    <t>Q5.44</t>
  </si>
  <si>
    <t>Q5.45</t>
  </si>
  <si>
    <t>Q5.46</t>
  </si>
  <si>
    <t>Q5.47</t>
  </si>
  <si>
    <t>Q5.48</t>
  </si>
  <si>
    <t>Q5.49</t>
  </si>
  <si>
    <t>Q5.50</t>
  </si>
  <si>
    <t>Q5.51</t>
  </si>
  <si>
    <t>Q5.51_7_TEXT</t>
  </si>
  <si>
    <t>Q5.52</t>
  </si>
  <si>
    <t>Q5.53</t>
  </si>
  <si>
    <t>Q5.54</t>
  </si>
  <si>
    <t>Q5.55</t>
  </si>
  <si>
    <t>Q5.56</t>
  </si>
  <si>
    <t>Q5.57</t>
  </si>
  <si>
    <t>Q5.58</t>
  </si>
  <si>
    <t>Q5.60</t>
  </si>
  <si>
    <t>Q5.60_5_TEXT</t>
  </si>
  <si>
    <t>Q5.61</t>
  </si>
  <si>
    <t>Q5.61_6_TEXT</t>
  </si>
  <si>
    <t>Q5.62</t>
  </si>
  <si>
    <t>Q5.63</t>
  </si>
  <si>
    <t>Q5.63_9_TEXT</t>
  </si>
  <si>
    <t>Q5.65</t>
  </si>
  <si>
    <t>Q5.66</t>
  </si>
  <si>
    <t>Q5.67</t>
  </si>
  <si>
    <t>Q5.67_8_TEXT</t>
  </si>
  <si>
    <t>Q5.68</t>
  </si>
  <si>
    <t>Q5.69</t>
  </si>
  <si>
    <t>Q5.70</t>
  </si>
  <si>
    <t>Q5.71</t>
  </si>
  <si>
    <t>Q5.72</t>
  </si>
  <si>
    <t>Q5.73</t>
  </si>
  <si>
    <t>Q5.73_9_TEXT</t>
  </si>
  <si>
    <t>Q5.74</t>
  </si>
  <si>
    <t>Q5.74_77_TEXT</t>
  </si>
  <si>
    <t>Q5.75</t>
  </si>
  <si>
    <t>Q5.76</t>
  </si>
  <si>
    <t>Q5.77</t>
  </si>
  <si>
    <t>Q5.78</t>
  </si>
  <si>
    <t>Q5.79</t>
  </si>
  <si>
    <t>Q5.80</t>
  </si>
  <si>
    <t>Q5.81</t>
  </si>
  <si>
    <t>Q5.82</t>
  </si>
  <si>
    <t>Q5.82_7_TEXT</t>
  </si>
  <si>
    <t>Q5.83</t>
  </si>
  <si>
    <t>Q5.84</t>
  </si>
  <si>
    <t>Q5.85</t>
  </si>
  <si>
    <t>Q5.86</t>
  </si>
  <si>
    <t>Q5.87</t>
  </si>
  <si>
    <t>Q5.88</t>
  </si>
  <si>
    <t>Q5.89</t>
  </si>
  <si>
    <t>Q5.91</t>
  </si>
  <si>
    <t>Q5.91_5_TEXT</t>
  </si>
  <si>
    <t>Q5.92</t>
  </si>
  <si>
    <t>Q5.92_9_TEXT</t>
  </si>
  <si>
    <t>Q5.93</t>
  </si>
  <si>
    <t>Q5.94</t>
  </si>
  <si>
    <t>Q5.94_18_TEXT</t>
  </si>
  <si>
    <t>Multiple of earnings</t>
  </si>
  <si>
    <t>Base,Bonus,Commissions,Overtime</t>
  </si>
  <si>
    <t>3X</t>
  </si>
  <si>
    <t>Spouse Basic Life is flat amount of C$10,000 Child Basic Life is flat amount of C$5,000</t>
  </si>
  <si>
    <t>Can purchase optional life in C$10,000 increments, up to C$500,000 (C$10k guarantee issue)</t>
  </si>
  <si>
    <t>Spouse</t>
  </si>
  <si>
    <t>Employees may also purchase optional life insurance for your spouse or domestic partner in C$10,000 increments, up to C$250,000.</t>
  </si>
  <si>
    <t>Optional/Voluntary</t>
  </si>
  <si>
    <t>Available in $10,000 units to a max of $250,000</t>
  </si>
  <si>
    <t>Coverage for employee and spouse limited to $250k maximum</t>
  </si>
  <si>
    <t>base + target incentive</t>
  </si>
  <si>
    <t>2X</t>
  </si>
  <si>
    <t>Additional employee or spousal life to max of $500K</t>
  </si>
  <si>
    <t>Children - $5000 coverage</t>
  </si>
  <si>
    <t>Employee only Family</t>
  </si>
  <si>
    <t>Base</t>
  </si>
  <si>
    <t>Employee have basic employer paid life. optional life for spouse/domestic partner and children</t>
  </si>
  <si>
    <t>Spouse max 10000 and child 20000</t>
  </si>
  <si>
    <t>Rider to a life insurance policy</t>
  </si>
  <si>
    <t>Increments of $10,000 up to max of $500,000</t>
  </si>
  <si>
    <t>Life insurance coverage is equal to two times of annual salary or on-target earnings for commissioned EEs, rounded to the nearest $1000 CAD</t>
  </si>
  <si>
    <t>Employees have option to increase coverage by purchasing life insurance for up to 10x annual salary or on-target earnings for commissioned EEs</t>
  </si>
  <si>
    <t>For spouse, employee can purchase spousal life insurance with a maximum amount. Child life insurance is offered for purchase with four options up to child's 26th birthday.</t>
  </si>
  <si>
    <t>Amount of insurance is based on annual earnings and rounded to the next higher $1,000</t>
  </si>
  <si>
    <t>Employees may choose to increase their coverage by purchasing optional AD&amp;D for up to 10 times the annual salary or on-target earnings for commissioned employees with a max of CAD $2,000,000 or 70th birthday</t>
  </si>
  <si>
    <t>Employees may purchase spousal and child AD&amp;D. For spousal, employee can purchase in units of $10,000 CAD with a maximum of $250K CAD. For children, there are four options to purchase with a maximum of $25,000 CAD up to child's 26th birthday.</t>
  </si>
  <si>
    <t>Basic, company-provided</t>
  </si>
  <si>
    <t>Benefits enrollment tool assesses available benefits and calculates it based on balance of benefit flex dollars that is used to purchase medical and dental benefits.</t>
  </si>
  <si>
    <t>Increments of $10,000 to a maximum of $200,000</t>
  </si>
  <si>
    <t>Spouse: increments of $5k to a max of $10k Children: increments of $2.5k to a max of $5k</t>
  </si>
  <si>
    <t>Dependent Life Insurance Spouse $ 10,000 Child $ 5,000</t>
  </si>
  <si>
    <t>Specific Loss</t>
  </si>
  <si>
    <t>Base,Commissions</t>
  </si>
  <si>
    <t>increments from 10k to 500K for spousal life children life: up to 5K</t>
  </si>
  <si>
    <t>spousal ADD: 10K-500K Child ADD: 5K-25K</t>
  </si>
  <si>
    <t>Spouse - $10000 maximum Child - $5000 maximum</t>
  </si>
  <si>
    <t>Employees can apply for additional life insurance directly with Canada Life</t>
  </si>
  <si>
    <t>Not applicable for dependents</t>
  </si>
  <si>
    <t>Can purchase directly with the provider</t>
  </si>
  <si>
    <t>Base,Bonus,Commissions</t>
  </si>
  <si>
    <t>Available in $10k units to a max of $300k for emp and spouse, subject to approval of EOI.  If emp is covered under the plan as both an employee and a spouse, emp is limited to the $300 maximum.</t>
  </si>
  <si>
    <t>Spouse - $10k Child - $5k</t>
  </si>
  <si>
    <t>5,000 per child and 10,000 per spouse</t>
  </si>
  <si>
    <t>Employees may purchase Optional Life Insurance benefits for themselves and their spouses and make payments through payroll deduction (subject to an overall maximum of $1.2M when combined with Basic Life coverage)</t>
  </si>
  <si>
    <t>Spouse units of 10,000 up to a max of 500,000</t>
  </si>
  <si>
    <t>Provides optional employee-paid protection to minimize the financial impact of a diagnosis of a covered condition. Also provides access to Best Doctors, a world‐class service to access a team of medical experts around the globe for an</t>
  </si>
  <si>
    <t>Spouse units of 10,000 to a max of 200,000 Child units of 5,000 up to a max of 20,000</t>
  </si>
  <si>
    <t>Up to $500,000 for spouse/domestic partner Up to $25,000 per child</t>
  </si>
  <si>
    <t>Flat amount 20k/spouse, 10k/children</t>
  </si>
  <si>
    <t>Amount to pay to the team member in the event of the spouse or child´s death</t>
  </si>
  <si>
    <t>Employee pays an amount to buy the insurance</t>
  </si>
  <si>
    <t>Spouse max is $5000CAD Child maxes at $2500CAD</t>
  </si>
  <si>
    <t>principled sum</t>
  </si>
  <si>
    <t>Employees have the option to increase life insurance in units of $10,000 to a maximum of $500,000.</t>
  </si>
  <si>
    <t>Employees have the option to purchase life insurance for spouse in units of $10,000 to a maximum of $500,000.</t>
  </si>
  <si>
    <t>You can opt to increase your coverage to a maximum of $250,000. Your spouse coverage is 50% (if you do not have children) or 40% if you have children.</t>
  </si>
  <si>
    <t>Units of $10,000 to $250,000</t>
  </si>
  <si>
    <t>Units of $10,000 up to a maximum of $500,000</t>
  </si>
  <si>
    <t>Chubb</t>
  </si>
  <si>
    <t>Units of $5,000 up to a maximum of $100,000</t>
  </si>
  <si>
    <t>Units of $5,000 up to a maximum of $100,000 for spouse/common-law partner  $5,000 for each dependent child</t>
  </si>
  <si>
    <t>1x</t>
  </si>
  <si>
    <t>Multiples of salary up to 12 times salary</t>
  </si>
  <si>
    <t>Spouse - multiples of $50k to a max of $500,000 Children - multiples of $5k to a max of $20,000</t>
  </si>
  <si>
    <t>Multiple of salary</t>
  </si>
  <si>
    <t>Multiples of salary to a max of $1.7M</t>
  </si>
  <si>
    <t>Chubb Inc.</t>
  </si>
  <si>
    <t>Accidental death</t>
  </si>
  <si>
    <t>Lloyd's Underwriters</t>
  </si>
  <si>
    <t>Increments of $25k to max of $100k, age banded rates, no medical required.</t>
  </si>
  <si>
    <t>Same as above</t>
  </si>
  <si>
    <t>spouse increments of $50K to $500K child increments of $5K to 20K</t>
  </si>
  <si>
    <t>Options are 1 through 10x pay with a max of $1,700,000 total combined with basic</t>
  </si>
  <si>
    <t>Spouse/Partner: increments of $50K to $500K child increments of $5K to $20K</t>
  </si>
  <si>
    <t>2 times your annual basic earnings rounded to the next higher $1,000 Maximum – $750,000</t>
  </si>
  <si>
    <t>SPOUSE Optional lifer Option 1: 1 times your annual basic earnings, rounded to the next higher $1,000 Maximum – $125,000 Option 2: 2 times your annual basic earnings, rounded to the next higher $1,000 Maximum – $250,000  Spouse – $10,000 Child – $5,000</t>
  </si>
  <si>
    <t>Amount Equal to Employee Optional Life coverage Termination When you retire or reach age 65, whichever is earlier</t>
  </si>
  <si>
    <t>Dependent basic life coverage is $10,000 for spouse/partner and $5,000 per child</t>
  </si>
  <si>
    <t>Employees can purchase additional personal life insurance coverage in multiples of $10,000 up to a maximum of $500,000.</t>
  </si>
  <si>
    <t>Employees can purchase additional life insurance coverage for their spouse in multiples of $10,000 up to a maximum of $250,000.  Employees can purchase additional life insurance coverage for their children in units of $5,000 up to a maximum of $20,000 per child.</t>
  </si>
  <si>
    <t>200% of annual earnings to a max of 1,000,00 reduced by 50% at age 65.  Amounts of 678,000 require EOI.</t>
  </si>
  <si>
    <t>10,000 for spouse, 5,000 for children</t>
  </si>
  <si>
    <t>10,000 units up to 200,000 maximum for employee or spouse</t>
  </si>
  <si>
    <t>200% of annual earnings to a max of 1,000,000, reducing by 50% at age 65</t>
  </si>
  <si>
    <t>Employee Optional Life: Units of 25% annual Earnings rounded to the next higher $1,000, if not already a multiple thereof, up to a maximum benefit of 5x Earnings and $500,000</t>
  </si>
  <si>
    <t>Spousal Optional Life: Spouse - $10,000 or an increment thereof to a maximum of $400,000  Child Optional Life: Flat $5,000</t>
  </si>
  <si>
    <t>Units of 25% of Annual Earnings, rounded to the next higher $1,000.00 up to 5 times the Participant’s Annual Earnings to a maximum of $1,000,000.</t>
  </si>
  <si>
    <t>Units of $25,000, maximum of $500,000. Combined max of $2,000,000 with basic life coverage.</t>
  </si>
  <si>
    <t>Spouse - units of $25,000; maximum of $500,000 Child - units of $5,000; maximum of $25,000</t>
  </si>
  <si>
    <t>Units of $25,000; Maximum of $500,000</t>
  </si>
  <si>
    <t>Spouse: Units of $25,000; Maximum of $500,000 Child: Units of $5,000; Maximum of $25,000</t>
  </si>
  <si>
    <t>Units of $10,000; Maximum of $250,000</t>
  </si>
  <si>
    <t>Spouse: Units of $10,000; Maximum of $250,000 Child: Units of $5,000; Maximum of $10,000</t>
  </si>
  <si>
    <t>'- Employee Life Insurance - 2 times annual earnings to the next higher $1,000 (if not already a multiple of $1,000) to a max benefit of $500,000. - Employee Optional Life Insurance- Increments of $10,000 to a max benefit of $250,000. Max amount of Employee life and Employee optional life combined cannot exceed $1,000,000. - Dependent Life Insurance - Eligible spouse: $5,000 and eligible dependent children from live birth: $2,500</t>
  </si>
  <si>
    <t>Dependent Life Insurance - Eligible spouse: $5,000 and eligible dependent children from live birth: $2,500</t>
  </si>
  <si>
    <t>Employee Optional AD&amp;D Insurance:	 Increments of $10,000 to a max of $250,000. In all cases, the overall combined max of Employee AD&amp;D plus Employee optional AD&amp;D cannot exceed the lesser of:  2 times the combined total of the employee's Employee life insurance plus the employee's Employee optional life insurance (if the group plan includes Employee optional life), or $1,000,000. Evidence of insurability is not required.</t>
  </si>
  <si>
    <t>Spousal Optional AD&amp;D Insurance:	 Increments of $5,000 to a max of $125,000, but not to exceed 50% of the employee's Employee accidental death and dismemberment insurance plus Employee optional accidental death and dismemberment insurance.  Evidence of insurability is not required.  Child Optional AD&amp;D Insurance:	 Increments of $1,000 to a max of $25,000, but not to exceed 10% of the employee's Employee accidental death and dismemberment insurance plus Employee optional accidental death and dismemberment insurance.  Evidence of insurability is not required.</t>
  </si>
  <si>
    <t>Spouse: flat $10,000 Child: flat $5,000/child</t>
  </si>
  <si>
    <t>Available in units of $10,000 to a  maximum of $500,000 • Terminates at age 65 • Medical evidence required and benefit is 100% employee paid</t>
  </si>
  <si>
    <t>any amount of insurance from a minimum 10,000 to a maximum of 500,000 in units of 10,000</t>
  </si>
  <si>
    <t>$10,000 spouse $5,000 per eligible child</t>
  </si>
  <si>
    <t>Dependent basic life: Spouse $10k and Child $5k flat amounts</t>
  </si>
  <si>
    <t>Available in $10k units to max of $300k for EE, subject to EOI</t>
  </si>
  <si>
    <t>Available in $10k units to max of $300k for Spouse, subject to EOI</t>
  </si>
  <si>
    <t>Spouse $10k and Child $5k</t>
  </si>
  <si>
    <t>Spouse/DP $5,000 coverage Child $2,500 per child coverage</t>
  </si>
  <si>
    <t>Extra coverage for you and your Spouse/domestic partner is available in increments of $10,000, up to a maximum of $250,000</t>
  </si>
  <si>
    <t>Rider to Health policy</t>
  </si>
  <si>
    <t>4X</t>
  </si>
  <si>
    <t>Employee is X times earnings; dependents are flat amount</t>
  </si>
  <si>
    <t>Units of 10,000, up to max of 500,000</t>
  </si>
  <si>
    <t>Sutton Special Risk</t>
  </si>
  <si>
    <t>Flat dollar amount - spouse = $10,000 - child = $5,000</t>
  </si>
  <si>
    <t>Employee  - $10,000 units to a maximum of $500,000 subject to EOI.</t>
  </si>
  <si>
    <t>Child - $5,000 units to a maximum o f$10,000, subject to EOI after 31 days of becoming eligible  Spouse - $10,000 units to a maximum of $500,000 subject to EOI.  If Spouse &amp; Employee are both covered they are limited to $500,000 maximum.</t>
  </si>
  <si>
    <t>amount equal to employee's Basic Life insurance</t>
  </si>
  <si>
    <t>benefit under group insurance contract along with life,health, LTD, etc</t>
  </si>
  <si>
    <t>Spouse/CLP: $10000 Child: 5000</t>
  </si>
  <si>
    <t>Units of 10000 up to max of 500000</t>
  </si>
  <si>
    <t>Dependent Life is $25,000.00 and Dependent Children Life is $12,500.00</t>
  </si>
  <si>
    <t>Disease</t>
  </si>
  <si>
    <t>2.5x</t>
  </si>
  <si>
    <t>Spouse - flat amount of $5,000  Children - flat amount of $2,500</t>
  </si>
  <si>
    <t>We offer a flat $10,000 life insurance benefit for spouses and domestic partners and a flat $5,000 life insurance benefit for children.</t>
  </si>
  <si>
    <t>Optional life insurance for employees is available in $10,000 units for a minimum of $50,000 and to a maximum of $250,000, subject to approval of evidence of insurability.</t>
  </si>
  <si>
    <t>Optional life insurance for employees spouses is available in $10,000 units for a minimum of $50,000 and to a maximum of $250,000, subject to approval of evidence of insurability. Optional life insurance for children is available in $5,000 units to a maximum of $25,000.</t>
  </si>
  <si>
    <t>Spouse (if no children) - 50% of the employee amount Spouse (if there are children) - 40% of the employee amount Child (if there is no spouse) - 10% of the employee amount Child (if there is a spouse) - 5% of the employee amount</t>
  </si>
  <si>
    <t>Available in $10,000 units to a minimum of $50,000 and to a maximum of $250,000.</t>
  </si>
  <si>
    <t>Spouse – $10,000 Child – $10,000 until age 70</t>
  </si>
  <si>
    <t>The employee can choose coverage in units of $10,000 Maximum – $500,000 $1,000,000 for basic and optional combined Until age 70</t>
  </si>
  <si>
    <t>The employee can choose coverage in units of $10,000 Maximum – $300,000 Until the employee or dependent reach 70, whichever comes first</t>
  </si>
  <si>
    <t>The employee can choose coverage in units of $10,000 Maximum – $500,000 Employee Only Plan or Family Plan Termination When you reach age 70</t>
  </si>
  <si>
    <t>The employee may choose any amount of insurance in units of $10,000 to a maximum of $500,000, for family AD&amp;D coverage.</t>
  </si>
  <si>
    <t>CHUBB</t>
  </si>
  <si>
    <t>The employee can choose coverage in units of $10,000 Maximum – $200,000 Minimum – $20,000</t>
  </si>
  <si>
    <t>Spouse:  The employee can choose coverage in units of $10,000 Maximum – $200,000 Minimum – $20,000  Child: The employee can choose coverage in units of $5,000 Maximum – $20,000</t>
  </si>
  <si>
    <t>Spouse benefit is fixed amount of CAD$10,000 Child benefit is fixed amount of CAD $5,000</t>
  </si>
  <si>
    <t>Multiple of $10,000 up to $500,000.</t>
  </si>
  <si>
    <t>Multiple of $10,000 up to $250,000.</t>
  </si>
  <si>
    <t>Spouse: 40% of employee amount. Up to 50% if no children qualify for benefits Child: 5% of employee amount. Up to 10% if no spouse qualifies for benefits</t>
  </si>
  <si>
    <t>$10,000 for partner/spouse and $5,000 for each child</t>
  </si>
  <si>
    <t>$10,000 for your spouse and $5,000 for each dependent child</t>
  </si>
  <si>
    <t>$5,000 coverage for spouse, $2,500 for each child</t>
  </si>
  <si>
    <t>Increments of $10,000 to a max of $500,000</t>
  </si>
  <si>
    <t>$10,000 increments to a max of $500,000</t>
  </si>
  <si>
    <t>Basic life includes a 10,000 life benefit for spouse and 5,000 benefit for child up to age 21</t>
  </si>
  <si>
    <t>optional life insurance 10,000 up to 250,000. Guarantee Issue up to $30,000</t>
  </si>
  <si>
    <t>spouse optional life coverage from 10,000 up to 250,000. Evidence of insurability required for any amount</t>
  </si>
  <si>
    <t>Spouse benefit is $10,000; chidlren's benefit is $5,000.</t>
  </si>
  <si>
    <t>$10,000 up to $250,000</t>
  </si>
  <si>
    <t>Spouse/partner: $10,000 up to $250,000 Children: $5,000 up to $20,000</t>
  </si>
  <si>
    <t>● Term Life Insurance and AD&amp;D: 2x annual earnings1 with maximum benefit of: o $650,000 non-evidence limit o $1,500,000 maximum ● Dependent Life Insurance of $10,000 for spouse and $5,000 for each child  Salary definition: base salary plus regular bonuses paid in the last calendar year. Commission earnings are based on the average commissions received over the last 24 months. To ensure you receive the maximum Life/LTD benefit available, please complete and return the Evidence of Insurability form to Owen &amp; Associates. Completed forms will be submitted and reviewed by Canada Life.</t>
  </si>
  <si>
    <t>● Dependent Life Insurance of $10,000 for spouse and $5,000 for each child</t>
  </si>
  <si>
    <t>Spouse - 10,000 Children - 5,000</t>
  </si>
  <si>
    <t>And losses</t>
  </si>
  <si>
    <t>$10,000 per spouse/CIL $5,000 per child</t>
  </si>
  <si>
    <t>optional employee life $25,000 blocks</t>
  </si>
  <si>
    <t>optional adult dependent life $10,000 blocks.</t>
  </si>
  <si>
    <t>Dependent life coverage. Spouse is $5,000 and each child is $2,500</t>
  </si>
  <si>
    <t>part of group insurance policy</t>
  </si>
  <si>
    <t>Spousal Life: Flat $10,000 Child Life: Flat $5,000</t>
  </si>
  <si>
    <t>Dependent Basic Life Insurance Spouse $10,000 Child $5,000</t>
  </si>
  <si>
    <t>Optional Life Insurance Available in $10,000 units to a maximum of $500,000, for employee or spouse, subject to approval of evidence of insurability. If covered under this plan as both an employee and a spouse, limited to the $500,000 maximum.</t>
  </si>
  <si>
    <t>EE: $10,000 or an increment thereof to a maximum of $200,000. The Employee Optional Life Insurance Benefit Amount is subject to a further maximum of $600,000, combined with the Employee Life Insurance Benefit Amount</t>
  </si>
  <si>
    <t>SP: Spouse - $10,000 or an increment thereof to a maximum of $200,000</t>
  </si>
  <si>
    <t>Flat amount of:  Spouse $5,000 Child $2,500</t>
  </si>
  <si>
    <t>Available in  $10,000 units of  maximum of $500,000, subject to EOI</t>
  </si>
  <si>
    <t>Spouse has the same optional Life Insurance coverage.  Child is sold in units of $5,000 to a max of $25,000</t>
  </si>
  <si>
    <t>AD&amp;D is a mandatory benefit paid for by the company.  Its a standard coverage of 2x earmings to a max of $700K (CDN dollars)</t>
  </si>
  <si>
    <t>RBC Insurance</t>
  </si>
  <si>
    <t>Spouse/partner $5,000 Child $2,500</t>
  </si>
  <si>
    <t>$10000 spouse/domestic partner, $5000 child</t>
  </si>
  <si>
    <t>Up to $500000, 100% employee paid</t>
  </si>
  <si>
    <t>100% employee paid, up to $185k self</t>
  </si>
  <si>
    <t>100% employee paid, $200k spouse/partner, $20k child</t>
  </si>
  <si>
    <t>Optional Life: Minimum coverage amount: $10,000 per certificate Maximum coverage amount: $500,000 per individual Note: Combined coverage amounts for all Life benefits (Basic, Optional, Supplemental, Personal and Survivor Income) cannot exceed the group size overall maximum of $1,500,000 Non-Evidence Limit: $100,000* *Subject to pre-existing condition limitation  Optional AD&amp;D Minimum coverage amount: $10,000 Maximum coverage amount: $250,000 per certificate; Overall combined Basic and Optional AD&amp;D amounts cannot exceed $1,000,000 per certificate</t>
  </si>
  <si>
    <t>Minimum coverage amount: $10,000 per certificate Maximum coverage amount: $500,000 (must not exceed the maximum coverage under employee optional life) Non-Evident Limit: $50,000* *Subject to the pre-existing condition limitation</t>
  </si>
  <si>
    <t>Minimum coverage amount: $10,000 Maximum coverage amount: $250,000 per certificate; Overall combined Basic and Optional AD&amp;D amounts cannot exceed $1,000,000 per certificate</t>
  </si>
  <si>
    <t>Q6.2</t>
  </si>
  <si>
    <t>Q6.3</t>
  </si>
  <si>
    <t>Q6.4</t>
  </si>
  <si>
    <t>Q6.5</t>
  </si>
  <si>
    <t>Q6.6</t>
  </si>
  <si>
    <t>Q6.7</t>
  </si>
  <si>
    <t>Q6.8</t>
  </si>
  <si>
    <t>Q6.9</t>
  </si>
  <si>
    <t>Q6.10</t>
  </si>
  <si>
    <t>Q6.11</t>
  </si>
  <si>
    <t>Q6.12</t>
  </si>
  <si>
    <t>Q6.13</t>
  </si>
  <si>
    <t>Q6.14</t>
  </si>
  <si>
    <t>Q6.15</t>
  </si>
  <si>
    <t>Q6.16</t>
  </si>
  <si>
    <t>Q6.17</t>
  </si>
  <si>
    <t>Q6.17_3_TEXT</t>
  </si>
  <si>
    <t>Q6.19</t>
  </si>
  <si>
    <t>Q6.20</t>
  </si>
  <si>
    <t>Q6.21</t>
  </si>
  <si>
    <t>Q6.22</t>
  </si>
  <si>
    <t>Q6.23</t>
  </si>
  <si>
    <t>Q6.24</t>
  </si>
  <si>
    <t>Q6.24_3_TEXT</t>
  </si>
  <si>
    <t>Q6.25</t>
  </si>
  <si>
    <t>Q6.25_9_TEXT</t>
  </si>
  <si>
    <t>Q6.26</t>
  </si>
  <si>
    <t>Q6.27</t>
  </si>
  <si>
    <t>Q6.28</t>
  </si>
  <si>
    <t>Q6.29</t>
  </si>
  <si>
    <t>Q6.30</t>
  </si>
  <si>
    <t>Q6.31</t>
  </si>
  <si>
    <t>Q6.32</t>
  </si>
  <si>
    <t>Q6.33</t>
  </si>
  <si>
    <t>Q6.34</t>
  </si>
  <si>
    <t>Q6.35</t>
  </si>
  <si>
    <t>Q6.36</t>
  </si>
  <si>
    <t>Q6.37</t>
  </si>
  <si>
    <t>Q6.39</t>
  </si>
  <si>
    <t>Q6.39_3_TEXT</t>
  </si>
  <si>
    <t>Q6.40</t>
  </si>
  <si>
    <t>Q6.40_6_TEXT</t>
  </si>
  <si>
    <t>Q6.41</t>
  </si>
  <si>
    <t>Q6.42</t>
  </si>
  <si>
    <t>Q6.42_9_TEXT</t>
  </si>
  <si>
    <t>Q6.44</t>
  </si>
  <si>
    <t>Q6.45</t>
  </si>
  <si>
    <t>Q6.46</t>
  </si>
  <si>
    <t>Q6.47</t>
  </si>
  <si>
    <t>Q6.48</t>
  </si>
  <si>
    <t>Q6.49</t>
  </si>
  <si>
    <t>Q6.49_3_TEXT</t>
  </si>
  <si>
    <t>Q6.50</t>
  </si>
  <si>
    <t>Q6.50_9_TEXT</t>
  </si>
  <si>
    <t>Q6.51</t>
  </si>
  <si>
    <t>Q6.51_6_TEXT</t>
  </si>
  <si>
    <t>Q6.52</t>
  </si>
  <si>
    <t>Q6.53</t>
  </si>
  <si>
    <t>Q6.54</t>
  </si>
  <si>
    <t>Q6.55</t>
  </si>
  <si>
    <t>Q6.56</t>
  </si>
  <si>
    <t>Q6.57</t>
  </si>
  <si>
    <t>Q6.58</t>
  </si>
  <si>
    <t>Q6.59</t>
  </si>
  <si>
    <t>Q6.60</t>
  </si>
  <si>
    <t>Q6.61</t>
  </si>
  <si>
    <t>Q6.62</t>
  </si>
  <si>
    <t>Q6.63</t>
  </si>
  <si>
    <t>Q6.64</t>
  </si>
  <si>
    <t>Q6.66</t>
  </si>
  <si>
    <t>Q6.66_3_TEXT</t>
  </si>
  <si>
    <t>Q6.67</t>
  </si>
  <si>
    <t>Q6.67_6_TEXT</t>
  </si>
  <si>
    <t>Q6.68</t>
  </si>
  <si>
    <t>Q6.69</t>
  </si>
  <si>
    <t>Q6.69_9_TEXT</t>
  </si>
  <si>
    <t>Q6.71</t>
  </si>
  <si>
    <t>Q6.72</t>
  </si>
  <si>
    <t>Q6.73</t>
  </si>
  <si>
    <t>Q6.74</t>
  </si>
  <si>
    <t>Q6.75</t>
  </si>
  <si>
    <t>Q6.76</t>
  </si>
  <si>
    <t>Q6.77</t>
  </si>
  <si>
    <t>Q6.77_12_TEXT</t>
  </si>
  <si>
    <t>Q6.78</t>
  </si>
  <si>
    <t>Q6.78_7_TEXT</t>
  </si>
  <si>
    <t>Q6.79</t>
  </si>
  <si>
    <t>Q6.80</t>
  </si>
  <si>
    <t>Q6.81</t>
  </si>
  <si>
    <t>Q6.82</t>
  </si>
  <si>
    <t>Q6.83</t>
  </si>
  <si>
    <t>Q6.84</t>
  </si>
  <si>
    <t>Q6.85</t>
  </si>
  <si>
    <t>Q6.86</t>
  </si>
  <si>
    <t>Q6.87</t>
  </si>
  <si>
    <t>Q6.89</t>
  </si>
  <si>
    <t>Q6.89_3_TEXT</t>
  </si>
  <si>
    <t>Q6.90</t>
  </si>
  <si>
    <t>Q6.90_6_TEXT</t>
  </si>
  <si>
    <t>Q6.91</t>
  </si>
  <si>
    <t>Q6.92</t>
  </si>
  <si>
    <t>Q6.92_9_TEXT</t>
  </si>
  <si>
    <t>Paid</t>
  </si>
  <si>
    <t>Own occupation</t>
  </si>
  <si>
    <t>Days 1–7: 100% through sick time Days 8–37: 100% salary replacement through STD Days 38–120: 66 ⅔% salary replacement through STD</t>
  </si>
  <si>
    <t>In-house</t>
  </si>
  <si>
    <t>no limit</t>
  </si>
  <si>
    <t>Retirement age</t>
  </si>
  <si>
    <t>Age 65</t>
  </si>
  <si>
    <t xml:space="preserve">Full-time is 48 hours and Part-time is 35 hours </t>
  </si>
  <si>
    <t>hrly: 70% salaried: 100% for first week, then 70% for remaining</t>
  </si>
  <si>
    <t>2 years own occ; any occ thereafter</t>
  </si>
  <si>
    <t>Specified age that is not retirement age</t>
  </si>
  <si>
    <t>66.67% of the first $2500 plus 50% of remaining</t>
  </si>
  <si>
    <t>Great West Life</t>
  </si>
  <si>
    <t>Up to a maximum of 17 weeks of benefits between 66.67% and 100% dependent on tenure.</t>
  </si>
  <si>
    <t>Salary Continuance</t>
  </si>
  <si>
    <t>Any occupation</t>
  </si>
  <si>
    <t>age 65</t>
  </si>
  <si>
    <t>Based on weekly earnings and length of service</t>
  </si>
  <si>
    <t>Based on monthly earnings</t>
  </si>
  <si>
    <t>Specified number of weeks</t>
  </si>
  <si>
    <t>Forfeited</t>
  </si>
  <si>
    <t>own uccupation for first 2 years and then any occupation after 2 years</t>
  </si>
  <si>
    <t>CanadaLife</t>
  </si>
  <si>
    <t>unlimited</t>
  </si>
  <si>
    <t>Not specified</t>
  </si>
  <si>
    <t>Employees with less than 5 years receive 100% of eligible weekly earnings for the first 3 weeks, then 67% of eligible weekly earnings for 14 weeks, up to a maximum weekly benefit of $4,000 Employees with 5 or more years receive 100% of eligible weekly earnings for the first 5 weeks, then 67% of eligible weekly earnings for 12 weeks, up to a maximum weekly benefit of $4,000</t>
  </si>
  <si>
    <t>Day 1 - 7 - Non Paid (sick balance may be used) Day 8-60 80% of current Base Compensation Day 61-120 - 66 2/3% of current Base Compensation</t>
  </si>
  <si>
    <t xml:space="preserve">Canada Life	</t>
  </si>
  <si>
    <t>Anny occ after 2 years</t>
  </si>
  <si>
    <t>Years of Service	100% pay	66.67% pay Less than 2 years	2 weeks	       24 weeks 2 to 5 years	        6 weeks	       20 weeks Over 5 to 10 years	12 weeks	       14 weeks Over 10 or more years	16 weeks	10 weeks</t>
  </si>
  <si>
    <t>Genex</t>
  </si>
  <si>
    <t>RBC</t>
  </si>
  <si>
    <t>less than 2 years of service 100% for 2 weeks 66.67% pay 24 weeks 2 to 5 years of service 100% for 4 weeks 66.67% pay for 22 weeks 5 to 10 years of service 100% for 10 weeks 66.67% pay for 16 weeks 10 plus years 100% pay for 14 weeks 66.67% for 12 weeks</t>
  </si>
  <si>
    <t>"Core: 50% of the first $2,500 of your monthly pay plus; 45% of the next $1,500 of your monthly pay; plus 30% of the balance of your monthly pay.  Supplemental: 60% of the first $2,500 of your monthly pay, plus; 50% of the next $2,500 of your monthly pay, plus; 40% of the balance of your monthly pay"</t>
  </si>
  <si>
    <t>Unpaid</t>
  </si>
  <si>
    <t>A medical leave cannot be granted beyond 12 consecutive months.</t>
  </si>
  <si>
    <t>100% of ee weekly basic earnings rounded to the next higher $1 for the first 13 weeks, reduced to 66.67% of your weekly basic earnings for the remainder, rounded to the next higher $1, up to a maximum of $800</t>
  </si>
  <si>
    <t>2 weeks = sick time at 100% 2 weeks = STD at 100% 13 weeks = STD at 66.67%</t>
  </si>
  <si>
    <t>The date employee is no longer totally disabled or age 65, whichever comes earlier</t>
  </si>
  <si>
    <t>changes to any additional sources of income</t>
  </si>
  <si>
    <t>Less than 2 years of service - pay 4 weeks 100%; 22 weeks 66.67%. Less than 3 years of service - pay 8 weeks 100%; 18 weeks 66.67% Less than 5 years of service - pay 13 weeks 100%; 13 weeks 66.67% 5 years or more of service - pay 26 weeks 100%</t>
  </si>
  <si>
    <t>Employees scheduled to work 20-40 weekly hours get 80 paid sick hours per year.</t>
  </si>
  <si>
    <t>unlimited up to eligibility for STD plan</t>
  </si>
  <si>
    <t>part of master health policy</t>
  </si>
  <si>
    <t>100% first 5 days, 90% first few weeks, and 75% the rest of STD</t>
  </si>
  <si>
    <t>experienced rated</t>
  </si>
  <si>
    <t>first 24 after waiting period = own occupation; after 24 months is any occupation</t>
  </si>
  <si>
    <t>weeks 2-5: 100% weeks 6-17: 66 2/3</t>
  </si>
  <si>
    <t>67% for first $3,000 in monthly earnings 40% any excess amount to the maximum</t>
  </si>
  <si>
    <t>66 2/3 of monthly earnings. Non-Evidence Maximum $7,000.00; Maximum $10,000.00. Benefits are payable to age 65 or prior recovery.</t>
  </si>
  <si>
    <t>Percentage of Principal Sum</t>
  </si>
  <si>
    <t>Varies depending on loss type</t>
  </si>
  <si>
    <t>Own occupation for first 24 months</t>
  </si>
  <si>
    <t>5 consecutive days</t>
  </si>
  <si>
    <t>75% of your weekly basic earnings up to a maximum of $1,700 100% of your weekly basic earnings will be paid for the first 7 calendar days if you are hospitalized</t>
  </si>
  <si>
    <t>Employees have an option to choose between base only or base plus variable</t>
  </si>
  <si>
    <t>Own and Any (after 2 years)</t>
  </si>
  <si>
    <t>100% for between 2 to 10 weeks depending on years of service, then reduces to 66.6%</t>
  </si>
  <si>
    <t>24 months</t>
  </si>
  <si>
    <t>5 (this excludes vacation time off)</t>
  </si>
  <si>
    <t>Rider to health insurance policy</t>
  </si>
  <si>
    <t>Rider to our health insurance</t>
  </si>
  <si>
    <t>own occupation the first 24 months and any occupation thereafter</t>
  </si>
  <si>
    <t>eligible for LTD benefits until age 65. If LTD claim approved, own occupation the first 24 months and any occupation thereafter</t>
  </si>
  <si>
    <t>Not a stand alone policy, but falls within the same policy as the Extended Healthcare</t>
  </si>
  <si>
    <t>Own occupation, transition to any occupation after 12 months</t>
  </si>
  <si>
    <t>Not a standalone policy, under the same policy as Extended Healthcare</t>
  </si>
  <si>
    <t>Weeks 2-5: 100 percent of pay Weeks 6-17: 66 2/3 percent of pay, up to a maximum of $5,000 per week</t>
  </si>
  <si>
    <t>Part of the group benefit plan</t>
  </si>
  <si>
    <t>week 1 - elimination week 2-9 - 100% week 10-26 - 66%</t>
  </si>
  <si>
    <t>10 days</t>
  </si>
  <si>
    <t>Healthcare</t>
  </si>
  <si>
    <t>Own Occupation for 24 months; any occ after</t>
  </si>
  <si>
    <t>65 or retirement</t>
  </si>
  <si>
    <t>Rider to healthcare</t>
  </si>
  <si>
    <t>Q7.2</t>
  </si>
  <si>
    <t>Q7.3</t>
  </si>
  <si>
    <t>Q7.4</t>
  </si>
  <si>
    <t>Q7.5</t>
  </si>
  <si>
    <t>Q7.6</t>
  </si>
  <si>
    <t>Q7.8</t>
  </si>
  <si>
    <t>Q7.8_8_TEXT</t>
  </si>
  <si>
    <t>Q7.9</t>
  </si>
  <si>
    <t>Q7.10</t>
  </si>
  <si>
    <t>Q7.11</t>
  </si>
  <si>
    <t>Q7.12</t>
  </si>
  <si>
    <t>Q7.13</t>
  </si>
  <si>
    <t>Q7.14</t>
  </si>
  <si>
    <t>Q7.15</t>
  </si>
  <si>
    <t>Q7.16</t>
  </si>
  <si>
    <t>Q7.17</t>
  </si>
  <si>
    <t>Q7.18</t>
  </si>
  <si>
    <t>Q7.19</t>
  </si>
  <si>
    <t>Q7.20</t>
  </si>
  <si>
    <t>Q7.21</t>
  </si>
  <si>
    <t>Q7.22</t>
  </si>
  <si>
    <t>Q7.23</t>
  </si>
  <si>
    <t>Q7.24</t>
  </si>
  <si>
    <t>Q7.25</t>
  </si>
  <si>
    <t>Q7.26</t>
  </si>
  <si>
    <t>Q7.27</t>
  </si>
  <si>
    <t>Q7.28</t>
  </si>
  <si>
    <t>Q7.29</t>
  </si>
  <si>
    <t>Q7.30</t>
  </si>
  <si>
    <t>Q7.31</t>
  </si>
  <si>
    <t>Q7.32</t>
  </si>
  <si>
    <t>Q7.33</t>
  </si>
  <si>
    <t>Q7.33_6_TEXT</t>
  </si>
  <si>
    <t>Q7.34</t>
  </si>
  <si>
    <t>Q7.35</t>
  </si>
  <si>
    <t>Q7.35_9_TEXT</t>
  </si>
  <si>
    <t>Q7.37</t>
  </si>
  <si>
    <t>Q7.37_8_TEXT</t>
  </si>
  <si>
    <t>Q7.38</t>
  </si>
  <si>
    <t>Q7.38_7_TEXT</t>
  </si>
  <si>
    <t>Q7.39</t>
  </si>
  <si>
    <t>Q7.40</t>
  </si>
  <si>
    <t>Q7.41</t>
  </si>
  <si>
    <t>Q7.42</t>
  </si>
  <si>
    <t>Q7.43</t>
  </si>
  <si>
    <t>Q7.44</t>
  </si>
  <si>
    <t>Q7.45</t>
  </si>
  <si>
    <t>Q7.46</t>
  </si>
  <si>
    <t>Q7.47</t>
  </si>
  <si>
    <t>Q7.48</t>
  </si>
  <si>
    <t>Q7.49</t>
  </si>
  <si>
    <t>Q7.50</t>
  </si>
  <si>
    <t>Q7.51</t>
  </si>
  <si>
    <t>Q7.51_5_TEXT</t>
  </si>
  <si>
    <t>Q7.53</t>
  </si>
  <si>
    <t>Q7.55</t>
  </si>
  <si>
    <t>Q7.56</t>
  </si>
  <si>
    <t>Q7.56_8_TEXT</t>
  </si>
  <si>
    <t>Q7.57</t>
  </si>
  <si>
    <t>Q7.58</t>
  </si>
  <si>
    <t>Q7.59</t>
  </si>
  <si>
    <t>Q7.60</t>
  </si>
  <si>
    <t>Q7.61</t>
  </si>
  <si>
    <t>Q7.62</t>
  </si>
  <si>
    <t>Q7.63</t>
  </si>
  <si>
    <t>Q7.64</t>
  </si>
  <si>
    <t>Q7.66</t>
  </si>
  <si>
    <t>Q7.67</t>
  </si>
  <si>
    <t>Q7.67_8_TEXT</t>
  </si>
  <si>
    <t>Q7.68</t>
  </si>
  <si>
    <t>Q7.69</t>
  </si>
  <si>
    <t>Q7.70</t>
  </si>
  <si>
    <t>Q7.71</t>
  </si>
  <si>
    <t>Q7.72</t>
  </si>
  <si>
    <t>Q7.73</t>
  </si>
  <si>
    <t>Q7.74</t>
  </si>
  <si>
    <t>Q7.75</t>
  </si>
  <si>
    <t>Q7.77</t>
  </si>
  <si>
    <t>Q7.78</t>
  </si>
  <si>
    <t>Q7.79</t>
  </si>
  <si>
    <t>Group Registered Retirement Savings Plan (RRSP),Group Tax-Free Savings Account (TFSA)</t>
  </si>
  <si>
    <t>Contingent: company contributes only if employee makes contributions</t>
  </si>
  <si>
    <t>None: no company contributions</t>
  </si>
  <si>
    <t>Group Registered Retirement Savings Plan (RRSP)</t>
  </si>
  <si>
    <t>Hybrid: company contributes standard percentage plus matching some of employee contributions</t>
  </si>
  <si>
    <t>Defined contribution plan</t>
  </si>
  <si>
    <t>Voluntary</t>
  </si>
  <si>
    <t>Automatic: company contributes standard percentage regardless of employee contribution</t>
  </si>
  <si>
    <t>Immediate</t>
  </si>
  <si>
    <t>Health and Life benefits are offered</t>
  </si>
  <si>
    <t>Company does contributions of up to 5% of earnings under a DPSP plan</t>
  </si>
  <si>
    <t>Group Registered Retirement Savings Plan (RRSP),Other</t>
  </si>
  <si>
    <t>Group Registered Retirement Savings Plan (RRSP),Group Tax-Free Savings Account (TFSA),Other</t>
  </si>
  <si>
    <t>Base,Bonus,Overtime</t>
  </si>
  <si>
    <t>Defined contribution plan,Group Registered Retirement Savings Plan (RRSP)</t>
  </si>
  <si>
    <t>Target date fund</t>
  </si>
  <si>
    <t>More than 20</t>
  </si>
  <si>
    <t>Defined contribution plan,Group Registered Retirement Savings Plan (RRSP),Group Tax-Free Savings Account (TFSA)</t>
  </si>
  <si>
    <t>Base,Commissions,Other, please specify:</t>
  </si>
  <si>
    <t>shift premium</t>
  </si>
  <si>
    <t>16-20</t>
  </si>
  <si>
    <t>NRSP plan</t>
  </si>
  <si>
    <t>Non-registered savings plan</t>
  </si>
  <si>
    <t>Group DPSP  - matches 100% of RRSP regular contribution (employees make regular contributions of 1% - 4% to the group RRSP) to the DPSP</t>
  </si>
  <si>
    <t>The company matches 50% of employee's contribution of RRSP (up to 10%) in DPSP</t>
  </si>
  <si>
    <t>DPSP</t>
  </si>
  <si>
    <t>Q8.3</t>
  </si>
  <si>
    <t>Q8.3_22_TEXT</t>
  </si>
  <si>
    <t>Q8.5</t>
  </si>
  <si>
    <t>Q8.6</t>
  </si>
  <si>
    <t>Q8.7</t>
  </si>
  <si>
    <t>Q8.8</t>
  </si>
  <si>
    <t>Q8.8_7_TEXT</t>
  </si>
  <si>
    <t>Q8.9</t>
  </si>
  <si>
    <t>Q8.9_9_TEXT</t>
  </si>
  <si>
    <t>Q8.10</t>
  </si>
  <si>
    <t>Q8.11</t>
  </si>
  <si>
    <t>Q8.12</t>
  </si>
  <si>
    <t>Q8.13</t>
  </si>
  <si>
    <t>Q8.13_6_TEXT</t>
  </si>
  <si>
    <t>Q8.14</t>
  </si>
  <si>
    <t>Q8.15</t>
  </si>
  <si>
    <t>Q8.16</t>
  </si>
  <si>
    <t>Q8.16_5_TEXT</t>
  </si>
  <si>
    <t>Q8.17</t>
  </si>
  <si>
    <t>Q8.18</t>
  </si>
  <si>
    <t>Q8.19</t>
  </si>
  <si>
    <t>Q8.19_9_TEXT</t>
  </si>
  <si>
    <t>Q8.20</t>
  </si>
  <si>
    <t>Q8.20_6_TEXT</t>
  </si>
  <si>
    <t>Q8.21</t>
  </si>
  <si>
    <t>Q8.22</t>
  </si>
  <si>
    <t>Q8.23</t>
  </si>
  <si>
    <t>Q8.24</t>
  </si>
  <si>
    <t>Q8.25</t>
  </si>
  <si>
    <t>Q8.27</t>
  </si>
  <si>
    <t>Q8.28</t>
  </si>
  <si>
    <t>Q8.29</t>
  </si>
  <si>
    <t>Q8.30</t>
  </si>
  <si>
    <t>Q8.31</t>
  </si>
  <si>
    <t>Q8.32</t>
  </si>
  <si>
    <t>Q8.33</t>
  </si>
  <si>
    <t>Q8.34</t>
  </si>
  <si>
    <t>Q8.36</t>
  </si>
  <si>
    <t>Q8.37</t>
  </si>
  <si>
    <t>Q8.38</t>
  </si>
  <si>
    <t>Q8.39</t>
  </si>
  <si>
    <t>Q8.40</t>
  </si>
  <si>
    <t>Q8.41</t>
  </si>
  <si>
    <t>Q8.42</t>
  </si>
  <si>
    <t>Q8.43</t>
  </si>
  <si>
    <t>Q8.45</t>
  </si>
  <si>
    <t>Q8.46</t>
  </si>
  <si>
    <t>Q8.47</t>
  </si>
  <si>
    <t>Q8.48</t>
  </si>
  <si>
    <t>Q8.49</t>
  </si>
  <si>
    <t>Q8.50</t>
  </si>
  <si>
    <t>Q8.51</t>
  </si>
  <si>
    <t>Q8.52</t>
  </si>
  <si>
    <t>Q8.53</t>
  </si>
  <si>
    <t>Q8.54</t>
  </si>
  <si>
    <t>Q8.56</t>
  </si>
  <si>
    <t>Q8.57</t>
  </si>
  <si>
    <t>Q8.58</t>
  </si>
  <si>
    <t>Q8.59</t>
  </si>
  <si>
    <t>Q8.60</t>
  </si>
  <si>
    <t>Q8.60_3_TEXT</t>
  </si>
  <si>
    <t>Q8.61</t>
  </si>
  <si>
    <t>Q8.62</t>
  </si>
  <si>
    <t>Q8.63</t>
  </si>
  <si>
    <t>Q8.64</t>
  </si>
  <si>
    <t>Q8.65</t>
  </si>
  <si>
    <t>Q8.67</t>
  </si>
  <si>
    <t>Q8.68</t>
  </si>
  <si>
    <t>Q8.69</t>
  </si>
  <si>
    <t>Q8.70</t>
  </si>
  <si>
    <t>Q8.70_20_TEXT</t>
  </si>
  <si>
    <t>Q8.71</t>
  </si>
  <si>
    <t>Q8.72</t>
  </si>
  <si>
    <t>Q8.73</t>
  </si>
  <si>
    <t>Q8.74</t>
  </si>
  <si>
    <t>Q8.75</t>
  </si>
  <si>
    <t>Q8.76</t>
  </si>
  <si>
    <t>Q8.77</t>
  </si>
  <si>
    <t>Q8.78</t>
  </si>
  <si>
    <t>Q8.80</t>
  </si>
  <si>
    <t>Q8.81</t>
  </si>
  <si>
    <t>Q8.82</t>
  </si>
  <si>
    <t>Q8.83</t>
  </si>
  <si>
    <t>Q8.83_20_TEXT</t>
  </si>
  <si>
    <t>Q8.84</t>
  </si>
  <si>
    <t>Q8.85</t>
  </si>
  <si>
    <t>Q8.86</t>
  </si>
  <si>
    <t>Q8.87</t>
  </si>
  <si>
    <t>Q8.89</t>
  </si>
  <si>
    <t>Q8.90</t>
  </si>
  <si>
    <t>Q8.91</t>
  </si>
  <si>
    <t>Q8.92</t>
  </si>
  <si>
    <t>Q8.93</t>
  </si>
  <si>
    <t>Q8.94</t>
  </si>
  <si>
    <t>Q8.96</t>
  </si>
  <si>
    <t>Q8.97</t>
  </si>
  <si>
    <t>Q8.98</t>
  </si>
  <si>
    <t>Q8.99</t>
  </si>
  <si>
    <t>Q8.100</t>
  </si>
  <si>
    <t>Q8.102</t>
  </si>
  <si>
    <t>Q8.103</t>
  </si>
  <si>
    <t>Q8.105</t>
  </si>
  <si>
    <t>Q8.105_11_TEXT</t>
  </si>
  <si>
    <t>Q8.106</t>
  </si>
  <si>
    <t>Q8.107_1_1</t>
  </si>
  <si>
    <t>Q8.107_1_2</t>
  </si>
  <si>
    <t>Q8.107_2_1</t>
  </si>
  <si>
    <t>Q8.107_2_2</t>
  </si>
  <si>
    <t>Q8.107_3_1</t>
  </si>
  <si>
    <t>Q8.107_3_2</t>
  </si>
  <si>
    <t>Q8.107_4_1</t>
  </si>
  <si>
    <t>Q8.107_4_2</t>
  </si>
  <si>
    <t>Q8.107_5_1</t>
  </si>
  <si>
    <t>Q8.107_5_2</t>
  </si>
  <si>
    <t>Q8.107_6_1</t>
  </si>
  <si>
    <t>Q8.107_6_2</t>
  </si>
  <si>
    <t>Q8.107_7_1</t>
  </si>
  <si>
    <t>Q8.107_7_2</t>
  </si>
  <si>
    <t>Q8.107_8_1</t>
  </si>
  <si>
    <t>Q8.107_8_2</t>
  </si>
  <si>
    <t>Q8.107_9_1</t>
  </si>
  <si>
    <t>Q8.107_9_2</t>
  </si>
  <si>
    <t>Q8.108</t>
  </si>
  <si>
    <t>Q8.109</t>
  </si>
  <si>
    <t>Q8.110</t>
  </si>
  <si>
    <t>Q8.111</t>
  </si>
  <si>
    <t>Q8.111_2_TEXT</t>
  </si>
  <si>
    <t>Q8.112</t>
  </si>
  <si>
    <t>Q8.113</t>
  </si>
  <si>
    <t>Varies based on years of service</t>
  </si>
  <si>
    <t>Accrue up to 20 days of vacation time each year</t>
  </si>
  <si>
    <t>Salary continuance for days taken</t>
  </si>
  <si>
    <t>Fully paid</t>
  </si>
  <si>
    <t>20 days</t>
  </si>
  <si>
    <t>5 years</t>
  </si>
  <si>
    <t>6 Weeks</t>
  </si>
  <si>
    <t>Yes, all benefits</t>
  </si>
  <si>
    <t>More than 5 days</t>
  </si>
  <si>
    <t>National Day for Truth and Reconciliation</t>
  </si>
  <si>
    <t>Statutory requirement only (e.g., 3 hours)</t>
  </si>
  <si>
    <t>Annually</t>
  </si>
  <si>
    <t>Same entitlement for all employees</t>
  </si>
  <si>
    <t>depends on years of service</t>
  </si>
  <si>
    <t>depends on service</t>
  </si>
  <si>
    <t>carried forward one year</t>
  </si>
  <si>
    <t>A company percentage higher than government guidelines</t>
  </si>
  <si>
    <t>based on years of service</t>
  </si>
  <si>
    <t>Every 2-3 years</t>
  </si>
  <si>
    <t>4 hours</t>
  </si>
  <si>
    <t>More than once per year</t>
  </si>
  <si>
    <t>Up to 10 years service (10 years inclusive): 15 days 10 to 20 years service (20 years inclusive): 20 days Over 20 years service: 25 days</t>
  </si>
  <si>
    <t>Government guidelines</t>
  </si>
  <si>
    <t>'- Family care leave: Additional 7 days of fully-paid annual leave - Long service leave: 20 calendar days paid leave for every 10 consecutive years of service</t>
  </si>
  <si>
    <t xml:space="preserve">3 weeks for Salaried and 2 weeks for Hourly </t>
  </si>
  <si>
    <t>Combination</t>
  </si>
  <si>
    <t>Ad hoc or as needed</t>
  </si>
  <si>
    <t>First year prorated, following years based on a tier schedule.</t>
  </si>
  <si>
    <t>5 days</t>
  </si>
  <si>
    <t>Family Day</t>
  </si>
  <si>
    <t>None</t>
  </si>
  <si>
    <t>Spouse or domestic partner's siblings, children, children's spouses or grandchildren</t>
  </si>
  <si>
    <t>Extreme Conditions and Temporary Workplace Closure for extreme conditions, such as inclement weather, road closures, or other emergency situations, such as public health emergencies, gradual return to work leave for new parents at half-time at full pay for the first 4 weeks, Special Sick Leave for covid-19 symptoms</t>
  </si>
  <si>
    <t>First year, accrue up to 10 days. Subsequent years will continue to accrue until 20 days.</t>
  </si>
  <si>
    <t>3 days</t>
  </si>
  <si>
    <t>2 days</t>
  </si>
  <si>
    <t>Good Friday, Victoria Day, Canada Day, Simcoe Day, Labor Day, Thanksgiving Day</t>
  </si>
  <si>
    <t>National Aboriginal Day</t>
  </si>
  <si>
    <t>40 workdays</t>
  </si>
  <si>
    <t>Family member</t>
  </si>
  <si>
    <t>3 weeks of vacation for less than 5 years of experience. 4 weeks of vacation for over 5 years of experience.</t>
  </si>
  <si>
    <t>Easter Monday</t>
  </si>
  <si>
    <t>global hardship leave: reviewed case by case. For COVID related or natural disasters that affects the employee</t>
  </si>
  <si>
    <t>Unlimited</t>
  </si>
  <si>
    <t>Partially paid</t>
  </si>
  <si>
    <t>Can be requested once in a 12 month period</t>
  </si>
  <si>
    <t>Full day</t>
  </si>
  <si>
    <t>We offer flexible time off to all employees in Canada</t>
  </si>
  <si>
    <t>Bereavement</t>
  </si>
  <si>
    <t>15 days</t>
  </si>
  <si>
    <t>To help employees take time for themselves.  We've added 10 global recharge days in 2022.</t>
  </si>
  <si>
    <t>14 days</t>
  </si>
  <si>
    <t>Civic Holiday,Family Day</t>
  </si>
  <si>
    <t>Flexible holiday for religious observance</t>
  </si>
  <si>
    <t>Full Day for National Election such as PM</t>
  </si>
  <si>
    <t>Jury Duty (above) is really unlimited.  Employees who determine they are the main provider of a new child receive 13 weeks of full pay regardless of their gender. Critical Time Off - allows employees to step away for up to 20 days to focus on the urgent situation while not having to use PTO. Bereavement is included here too. No proof required.</t>
  </si>
  <si>
    <t>5 years of service - 15 days (1.25 days) 10 years of service - 20 days Over 10 Years - 25 days</t>
  </si>
  <si>
    <t>Floating days</t>
  </si>
  <si>
    <t>0 days</t>
  </si>
  <si>
    <t>Starts at 16 days per year and goes up to 20 days per year based on years of service</t>
  </si>
  <si>
    <t>1.75 x annual rate</t>
  </si>
  <si>
    <t>Future accrual stops when employee reaches max</t>
  </si>
  <si>
    <t>It's not a percentage. It is a number of hours per pay period based on years of service</t>
  </si>
  <si>
    <t>4 weeks</t>
  </si>
  <si>
    <t>Canada Day, Boxing Day, Victoria Day</t>
  </si>
  <si>
    <t>Flexible</t>
  </si>
  <si>
    <t>Pandemic Care Leave</t>
  </si>
  <si>
    <t>Varies based on years of service AND job level</t>
  </si>
  <si>
    <t>Upon Hire: 3 weeks (15 days), After Completion of 2 Years: 4 weeks (20 days), After Completion of 10 Years: 5 weeks (25 days)  Executives (VP and above) have unlimited vacation</t>
  </si>
  <si>
    <t>4 days</t>
  </si>
  <si>
    <t>Pandemic Care Leave - Up to 10 days to care for a dependent who has been affected by COVID (sickness, school closures, etc.)</t>
  </si>
  <si>
    <t>5 weeks</t>
  </si>
  <si>
    <t>Carried forward</t>
  </si>
  <si>
    <t>1 year</t>
  </si>
  <si>
    <t>Through age 10</t>
  </si>
  <si>
    <t>Good Friday</t>
  </si>
  <si>
    <t>15 days in first year of service. Additional day added every 2 years to a cap of 25 days after 20 years of service</t>
  </si>
  <si>
    <t>Based on statutory requirements</t>
  </si>
  <si>
    <t>1 day</t>
  </si>
  <si>
    <t>0-5 = 15 days 5-14 = 20 days 14+ = 25 days</t>
  </si>
  <si>
    <t>Boxing Day</t>
  </si>
  <si>
    <t>Alberta: 2 weeks per year increasing to 3 weeks after 5 year anniversary date of service British Columbia Manitoba Ontario - 2 weeks per year increasing to 3 weeks after 5 years of continuous service New Brunswick Nova Scotia 2 weeks per year increasing to 3 weeks after 8 years of continuous service Quebec - 2 weeks per year to 3 weeks after 3 years of continuous service Saskatchewan - 3 weeks per year, increasing to 4 weeks after 10 years of continuous service</t>
  </si>
  <si>
    <t>all eligible earnings (as defined under provincial employment or labour standards legislation), such as salary, commissions, and certain other payments</t>
  </si>
  <si>
    <t>Compassionate Leave 27 weeks maximum Critical illness of a child: 37 weeks maximum Critical illness of an adult: 16 weeks</t>
  </si>
  <si>
    <t>family member or non-family member</t>
  </si>
  <si>
    <t>Y1 - 15 days Y2-4 - 20 days Y5-14 - 25 days Y15 + - 30 days</t>
  </si>
  <si>
    <t>4 weeks of paid time off to provide care and support for a qualified family member and</t>
  </si>
  <si>
    <t>Annual leave/vacation time or paid time off (PTO)</t>
  </si>
  <si>
    <t>3 weeks</t>
  </si>
  <si>
    <t>Vacation Accrual 1st calendar year 1.67 days per month, maximum 20 days 2nd calendar year 20 days After 12-year anniversary 21 days After 14-year anniversary 22 days After 16-year anniversary 23 days After 18-year anniversary 24 days After 20-year anniversary 25 days After 22-year anniversary 26 days After 24-year anniversary 27 days After 26-year anniversary 28 days After 28-year anniversary 29 days After 30-year anniversary 30 days</t>
  </si>
  <si>
    <t>Less than 10 years of service: 3 weeks Less than 20 years of service: 4 weeks 20 years or more of service: 5 weeks</t>
  </si>
  <si>
    <t>8 weeks</t>
  </si>
  <si>
    <t>Yes, some benefits</t>
  </si>
  <si>
    <t>All benefits, except retirement benefits</t>
  </si>
  <si>
    <t>Employees with less than 5 years of service receive 10 days of statutory vacation each calendar year, and employees with 5 or more years of service receive 15 days of statutory vacation each calendar year. Part-time employees’ statutory vacation hours will be prorated based on their percentage of full-time equivalent. Once employees have exhausted their statutory vacation days, they are eligible for discretionary time off, as detailed below.</t>
  </si>
  <si>
    <t>Discretionary Time Off</t>
  </si>
  <si>
    <t>up to 8 weeks in a 12 month period</t>
  </si>
  <si>
    <t>New Year's Eve, New Year's Day, Good Friday, Victoria Day, Canada Day, Labour Day, Thanksgiving Day, Christmas Day</t>
  </si>
  <si>
    <t>3 weeks + 1 day for each full year of completed service, up to 5 weeks total.</t>
  </si>
  <si>
    <t>12 weeks</t>
  </si>
  <si>
    <t>"0-2 years of service: 15 days (3 weeks) per year (max accrual 22.5 days) 3-5 years of service: 20 days (4 weeks) per year (max accrual 30 days) 6+ years of service: 25 days (5 weeks) per year (max accrual 37.5 days)"</t>
  </si>
  <si>
    <t>"Varies based on years of service: 0 - 2 years: 22.5 days 3 - 5 years: 30 days 6+ years: 37.5 days"</t>
  </si>
  <si>
    <t>21 days per year</t>
  </si>
  <si>
    <t>252 hours</t>
  </si>
  <si>
    <t>Paid out</t>
  </si>
  <si>
    <t>30 calendar days</t>
  </si>
  <si>
    <t>4 weeks for new hires, and after every 5 years adding another week</t>
  </si>
  <si>
    <t>10 years</t>
  </si>
  <si>
    <t>1st day of work through entire 5th year of service = 15 days 6th anniversary and beyond = 20 days</t>
  </si>
  <si>
    <t>Varies based on job level</t>
  </si>
  <si>
    <t>Salaried Employees: Unlimited Time Off Hourly Employees: up to 35 days per year</t>
  </si>
  <si>
    <t>We are currently reviewing leave policies and looking to enhance</t>
  </si>
  <si>
    <t>Vacation Time currently accrues based on tenure.</t>
  </si>
  <si>
    <t>Less than 6 weeks of employment, the employee receives 4 weeks of parental LOA. Parental LOA of 8 weeks is available after six weeks of employment.</t>
  </si>
  <si>
    <t>15 days – up to 10 years of service  20 days – 10+ years of service</t>
  </si>
  <si>
    <t>Step-parent, foster parent, step-grandchild, spouse of the employee's child, a relative of the employee who is dependent on the employee for care or assistance</t>
  </si>
  <si>
    <t>Maternity</t>
  </si>
  <si>
    <t>1 to 7 years, 3weeks vacation. 7 to 15 years, 4 weeks. 15+ years 5 weeks.</t>
  </si>
  <si>
    <t>n/a</t>
  </si>
  <si>
    <t>wellness days, sick days time off</t>
  </si>
  <si>
    <t>PTO starts at 16 days on the first year. 1 additional day for each year of service, with a max of up to 20 PTO days per year.</t>
  </si>
  <si>
    <t>Wellnes days: 4 days per calendar year Sick days: 5 days per calendar year</t>
  </si>
  <si>
    <t>every year</t>
  </si>
  <si>
    <t>20 weeks paid leave for any parent (does not differ between birthing or non birthing parent)</t>
  </si>
  <si>
    <t>Parental</t>
  </si>
  <si>
    <t>15 days for up to 5 years of service, 20 days for 5 to up to 10 years of service, 25 days for 10 years or more of service</t>
  </si>
  <si>
    <t>Every 4-5 years</t>
  </si>
  <si>
    <t>Years of service 0-24 months accrue 15 days 25- 59 months accrue 20 days 60+ months accrue 25 days</t>
  </si>
  <si>
    <t>Rolling 12 month period measured from when the first day of hte first leave began</t>
  </si>
  <si>
    <t>pregnancy loss</t>
  </si>
  <si>
    <t>one week of time for every year of service completed</t>
  </si>
  <si>
    <t>4 floating holidays</t>
  </si>
  <si>
    <t>0-4 years of service = 120 hours per year 5-10 years of service = 160 hours per year 11 years or more of service = 176 hours per year</t>
  </si>
  <si>
    <t>Wellness Days</t>
  </si>
  <si>
    <t>Jury duty = paid for duration</t>
  </si>
  <si>
    <t>18 days (&lt;2 yos) 20 days (2-4 yos) 25 days (4+ yos)  excludes sick leave and family responsibility leave.</t>
  </si>
  <si>
    <t>21 days</t>
  </si>
  <si>
    <t>By years of service: &lt;1=18days,1=19days,2=20days,3=21days,4=22days,5=23days,6=24days,7+=25days</t>
  </si>
  <si>
    <t>pet compassionate leave</t>
  </si>
  <si>
    <t>up to 25 days based on tenure and job grade for total vacation entitlement.</t>
  </si>
  <si>
    <t>Company paid time off: base pay/Statutory Vacation: eligible earnings</t>
  </si>
  <si>
    <t>queen's mourning</t>
  </si>
  <si>
    <t>Up to 5 year anniversary --15 days After 5 year anniversary -- 20 days After 10 year anniversary -- 25 days After 30 year anniversary -- 30 days</t>
  </si>
  <si>
    <t>New Year's Day, Good Friday, Victoria Day, Canada Day, Labour Day, Thanksgiving Day, Christmas Day</t>
  </si>
  <si>
    <t>N/A</t>
  </si>
  <si>
    <t>Minimum Entitlement 3 weeks (15 working days) In your 10th calendar year 4 weeks (20 working days) In your 20th calendar year 5 weeks (25 working days) Director/Senior Director Your annual vacation allowance is: Minimum Entitlement 4 weeks (20 working days) In your 10th calendar year 5 weeks (25 working days) In your 20th calendar year 6 weeks (30 working days) Executives Your annual vacation allowance is: Minimum Entitlement 5 weeks (25 working days) In your 10th calendar year 6 weeks (30 working days)</t>
  </si>
  <si>
    <t>thru age 17</t>
  </si>
  <si>
    <t>10 days every 24 months</t>
  </si>
  <si>
    <t>8 hours</t>
  </si>
  <si>
    <t>"Less than 3 years =	  15 working days (120 hours) 3 years = 	  17 working days (136 hours) 4 years = 	  19 working days (152 hours) 5 years = 	  21 working days (168 hours) 6 – 9 years = 	  23 working days (184 hours) 10+ years =               25 working days (200 hours)"</t>
  </si>
  <si>
    <t>Annual vacation: 0 - 9 YOS: 3 weeks 10 - 19 YOS: 4 weeks 20+ YOS: 5 weeks</t>
  </si>
  <si>
    <t>Anyone is covered under the bereavement policy</t>
  </si>
  <si>
    <t>Emergency Leave - Employees have 10 days annual available to them to use in the case of a natural disaster (i.e. hurricanes, tornados, house fire, wildfires, floods), personal emergency situations (such as domestic violence), and/or COVID-19 situation (i.e. lack of child care/elder care support as a result of a facility closure, positive COVID test, etc)  Long Tenure Leave - Employee may take up to 4 weeks paid off every 5 years of services to recharge</t>
  </si>
  <si>
    <t>Q9.2</t>
  </si>
  <si>
    <t>Q9.3</t>
  </si>
  <si>
    <t>Q9.3_3_TEXT</t>
  </si>
  <si>
    <t>Q9.4</t>
  </si>
  <si>
    <t>Q9.5</t>
  </si>
  <si>
    <t>Q9.5_7_TEXT</t>
  </si>
  <si>
    <t>Q9.6</t>
  </si>
  <si>
    <t>Q9.6_10_TEXT</t>
  </si>
  <si>
    <t>Q9.7</t>
  </si>
  <si>
    <t>Q9.7_12_TEXT</t>
  </si>
  <si>
    <t>Q9.8</t>
  </si>
  <si>
    <t>Q9.8_6_TEXT</t>
  </si>
  <si>
    <t>Q9.9</t>
  </si>
  <si>
    <t>Q9.10</t>
  </si>
  <si>
    <t>Q9.10_9_TEXT</t>
  </si>
  <si>
    <t>Q9.11</t>
  </si>
  <si>
    <t>Q9.11_7_TEXT</t>
  </si>
  <si>
    <t>Q9.12</t>
  </si>
  <si>
    <t>Q9.12_6_TEXT</t>
  </si>
  <si>
    <t>Q9.13</t>
  </si>
  <si>
    <t>Q9.14</t>
  </si>
  <si>
    <t>Q9.14_11_TEXT</t>
  </si>
  <si>
    <t>Q9.15</t>
  </si>
  <si>
    <t>Q9.15_8_TEXT</t>
  </si>
  <si>
    <t>Q9.16</t>
  </si>
  <si>
    <t>Q9.16_18_TEXT</t>
  </si>
  <si>
    <t>Q9.17</t>
  </si>
  <si>
    <t>Q9.18</t>
  </si>
  <si>
    <t>Q9.18_8_TEXT</t>
  </si>
  <si>
    <t>Q9.20</t>
  </si>
  <si>
    <t>Q9.21</t>
  </si>
  <si>
    <t>Q9.22</t>
  </si>
  <si>
    <t>Q9.23</t>
  </si>
  <si>
    <t>Q9.24</t>
  </si>
  <si>
    <t>Q9.25</t>
  </si>
  <si>
    <t>Q9.26</t>
  </si>
  <si>
    <t>Q9.27</t>
  </si>
  <si>
    <t>Q9.29</t>
  </si>
  <si>
    <t>Q9.30</t>
  </si>
  <si>
    <t>Q9.31</t>
  </si>
  <si>
    <t>Q9.32</t>
  </si>
  <si>
    <t>Q9.33</t>
  </si>
  <si>
    <t>Q9.33_20_TEXT</t>
  </si>
  <si>
    <t>Q9.34</t>
  </si>
  <si>
    <t>Q9.34_10_TEXT</t>
  </si>
  <si>
    <t>Q9.35</t>
  </si>
  <si>
    <t>Q9.35_9_TEXT</t>
  </si>
  <si>
    <t>Q9.36</t>
  </si>
  <si>
    <t>Q9.37</t>
  </si>
  <si>
    <t>Q9.38</t>
  </si>
  <si>
    <t>Q9.40</t>
  </si>
  <si>
    <t>Q9.40_14_TEXT</t>
  </si>
  <si>
    <t>Q9.41</t>
  </si>
  <si>
    <t>Q9.41_8_TEXT</t>
  </si>
  <si>
    <t>Q9.42</t>
  </si>
  <si>
    <t>Q9.43</t>
  </si>
  <si>
    <t>Q9.44</t>
  </si>
  <si>
    <t>Q9.45</t>
  </si>
  <si>
    <t>Q9.46</t>
  </si>
  <si>
    <t>Q9.47</t>
  </si>
  <si>
    <t>Q9.47_8_TEXT</t>
  </si>
  <si>
    <t>Q9.48</t>
  </si>
  <si>
    <t>Q9.48_14_TEXT</t>
  </si>
  <si>
    <t>Q9.49_1</t>
  </si>
  <si>
    <t>Q9.49_2</t>
  </si>
  <si>
    <t>Q9.49_3</t>
  </si>
  <si>
    <t>Q9.49_4</t>
  </si>
  <si>
    <t>Q9.49_5</t>
  </si>
  <si>
    <t>Q9.49_6</t>
  </si>
  <si>
    <t>Q9.49_7</t>
  </si>
  <si>
    <t>Q9.49_8</t>
  </si>
  <si>
    <t>Q9.50_1</t>
  </si>
  <si>
    <t>Q9.50_2</t>
  </si>
  <si>
    <t>Q9.50_3</t>
  </si>
  <si>
    <t>Q9.50_4</t>
  </si>
  <si>
    <t>Very aligned</t>
  </si>
  <si>
    <t>Training</t>
  </si>
  <si>
    <t>Per incident</t>
  </si>
  <si>
    <t>ComPsych</t>
  </si>
  <si>
    <t>Headspace</t>
  </si>
  <si>
    <t>Unlimited, free money coaching for employees and their families with My Secure Advantage Tip Sheets Identity Recovery Services</t>
  </si>
  <si>
    <t>Don’t know</t>
  </si>
  <si>
    <t>Under development</t>
  </si>
  <si>
    <t>Silvercloud</t>
  </si>
  <si>
    <t>LifeWorks</t>
  </si>
  <si>
    <t>digital wellness platform</t>
  </si>
  <si>
    <t>Online tool</t>
  </si>
  <si>
    <t>Market practice information</t>
  </si>
  <si>
    <t>Wellbeing Champions</t>
  </si>
  <si>
    <t>Lose It!, Sanvello, ComPsych, Ten Parent Happier</t>
  </si>
  <si>
    <t>pet care</t>
  </si>
  <si>
    <t>Live chat with a GuidanceConsultant</t>
  </si>
  <si>
    <t>Virtual support for access to cognitive behavioral therapy (CBT) tools within Sanvello app, crises hotline service</t>
  </si>
  <si>
    <t>Online financial knowledge seminars</t>
  </si>
  <si>
    <t>Webinars and financial classes through Financial Knowledge to learn more on money money management and investment managements</t>
  </si>
  <si>
    <t>t-shirts, blankets, lunchboxes</t>
  </si>
  <si>
    <t>76-90%</t>
  </si>
  <si>
    <t>Somewhat aligned</t>
  </si>
  <si>
    <t>Separate ad hoc communication</t>
  </si>
  <si>
    <t>Employee Assistance Program</t>
  </si>
  <si>
    <t>Racial and ethnic diversity</t>
  </si>
  <si>
    <t>Digital fitness app</t>
  </si>
  <si>
    <t>Calm</t>
  </si>
  <si>
    <t>Workplace Options</t>
  </si>
  <si>
    <t>Calm App</t>
  </si>
  <si>
    <t xml:space="preserve"> None</t>
  </si>
  <si>
    <t>We don’t measure</t>
  </si>
  <si>
    <t>Allocated wellbeing budget</t>
  </si>
  <si>
    <t>Forma</t>
  </si>
  <si>
    <t>WPO and Modern Health</t>
  </si>
  <si>
    <t>Modern Health- 10 sessions/ year</t>
  </si>
  <si>
    <t>No options currently in Canada</t>
  </si>
  <si>
    <t>In company vision/mission statement</t>
  </si>
  <si>
    <t>Digital materials (e.g., email, newsletters, TV monitors, presentations, internal social networks or chat channels, etc.)</t>
  </si>
  <si>
    <t>Optum</t>
  </si>
  <si>
    <t>Webinars</t>
  </si>
  <si>
    <t>Manulife webinars</t>
  </si>
  <si>
    <t>Participation rates</t>
  </si>
  <si>
    <t>Mindfulness app</t>
  </si>
  <si>
    <t>RethinkCare</t>
  </si>
  <si>
    <t>Household members</t>
  </si>
  <si>
    <t>We use programs that are run through our vendor</t>
  </si>
  <si>
    <t>11-25%</t>
  </si>
  <si>
    <t>51-75%</t>
  </si>
  <si>
    <t>Email</t>
  </si>
  <si>
    <t>Employee surveys</t>
  </si>
  <si>
    <t>Paid time to support wellbeing</t>
  </si>
  <si>
    <t>Virgin Pulse</t>
  </si>
  <si>
    <t>Enrich</t>
  </si>
  <si>
    <t>Curalinc</t>
  </si>
  <si>
    <t xml:space="preserve">In addition to our Eap we offer Spring health for immediate crisis support/suicide prevention resources. </t>
  </si>
  <si>
    <t>Employees can also earn a $200 reimbursement towards financial support</t>
  </si>
  <si>
    <t>Employees must complete multiple levels within the Virgin Pulse platform to receive the incentive</t>
  </si>
  <si>
    <t>Raffle prizes</t>
  </si>
  <si>
    <t>In most all company meetings, offsite, internal video screens.</t>
  </si>
  <si>
    <t>Global Wellbeing Sharepoint site</t>
  </si>
  <si>
    <t>Vitality</t>
  </si>
  <si>
    <t>Global Wellbeing Sharepoint site with many resources. ReThink. Free resources and counseling to help parents with development or behavioral issues.  Wellthy - Resource support and hands on assistance for employees who are caregiving for an elderly parent or a seriously sick child or spouse.</t>
  </si>
  <si>
    <t>0-10%</t>
  </si>
  <si>
    <t>26-50%</t>
  </si>
  <si>
    <t>In goals and value statements</t>
  </si>
  <si>
    <t>Teams; Employee Toolbox</t>
  </si>
  <si>
    <t>training and guidance on resources available</t>
  </si>
  <si>
    <t>Virgin Pulse; Workplace Options</t>
  </si>
  <si>
    <t>Mental Health First Aid</t>
  </si>
  <si>
    <t>Achieve points by activities completed based on their interests and needs; points accrue to level and once level achieved points turn into credits to use for gift cards and other items.</t>
  </si>
  <si>
    <t>Rewards and recognition</t>
  </si>
  <si>
    <t>Rewards</t>
  </si>
  <si>
    <t>Virtual Health Care (iCBT)</t>
  </si>
  <si>
    <t>Financial health assessments</t>
  </si>
  <si>
    <t>Gift cards</t>
  </si>
  <si>
    <t>We offer a resource, SpringHealth, to our employees and managers/supervisors are able to suggest that program to the employee.</t>
  </si>
  <si>
    <t>calm</t>
  </si>
  <si>
    <t>Modern Health</t>
  </si>
  <si>
    <t>Wellbeing portal/platform</t>
  </si>
  <si>
    <t>Modern Health and Espresa</t>
  </si>
  <si>
    <t>Per year</t>
  </si>
  <si>
    <t>Modern Health -Workplace Options</t>
  </si>
  <si>
    <t>Non-monetary gifts</t>
  </si>
  <si>
    <t>Employee Resource Groups</t>
  </si>
  <si>
    <t>LifeSpeak</t>
  </si>
  <si>
    <t>connect with Virgin Pulse</t>
  </si>
  <si>
    <t>Senior leaders advocate</t>
  </si>
  <si>
    <t>Exos Fit, Modern Health</t>
  </si>
  <si>
    <t>Flu Prevention Program Collaborative Mediation Warmline Coping with Shift Work Resiliency Wellbeing Seminars</t>
  </si>
  <si>
    <t>In person advisors or 1:1 sessions</t>
  </si>
  <si>
    <t>Programs are offered through EAP and Modern Health App.</t>
  </si>
  <si>
    <t>Whil via Virgin Pulse</t>
  </si>
  <si>
    <t>Provided by SunLife</t>
  </si>
  <si>
    <t>via Virgin Pulse</t>
  </si>
  <si>
    <t>Retirement planning tools and calculators</t>
  </si>
  <si>
    <t>Movecoach, Wise at Work</t>
  </si>
  <si>
    <t>Wellness Points</t>
  </si>
  <si>
    <t>Engage</t>
  </si>
  <si>
    <t>at-home physical therapy program</t>
  </si>
  <si>
    <t>Lyra</t>
  </si>
  <si>
    <t>Utilizing wellbeing app to earn gift cards</t>
  </si>
  <si>
    <t>BeWell</t>
  </si>
  <si>
    <t>Homewood Health</t>
  </si>
  <si>
    <t>Global platform for wellness</t>
  </si>
  <si>
    <t>Work from home</t>
  </si>
  <si>
    <t>Cigna</t>
  </si>
  <si>
    <t>Many of our well-being programs are internal or through utilizing our EAP with ComPsych.</t>
  </si>
  <si>
    <t>Webinars, online content, Mental Health First Aid, Financial well-being</t>
  </si>
  <si>
    <t>Financial Wellness Week</t>
  </si>
  <si>
    <t>Leadership principles</t>
  </si>
  <si>
    <t>emails</t>
  </si>
  <si>
    <t>Wellbeing Ambassadors</t>
  </si>
  <si>
    <t>Legal/financial education and assistance</t>
  </si>
  <si>
    <t>Lyra/ICAS</t>
  </si>
  <si>
    <t>Mental Health Toolkit</t>
  </si>
  <si>
    <t>ICAS</t>
  </si>
  <si>
    <t>All programming and tools are offered through our RRSP administrator</t>
  </si>
  <si>
    <t>Wellbeing sessions provided to all employees</t>
  </si>
  <si>
    <t>Cleo, Fertility IQ, Grayce, Virgin Pulse, Rethink/Whil</t>
  </si>
  <si>
    <t>Through our Group RRSP vendor</t>
  </si>
  <si>
    <t>Modern Health and Empathia</t>
  </si>
  <si>
    <t>Intranet</t>
  </si>
  <si>
    <t>SilverCloud</t>
  </si>
  <si>
    <t>Employee feedback</t>
  </si>
  <si>
    <t>DEI &amp; ESG</t>
  </si>
  <si>
    <t>Benefits Team and Global Wellbeing Manager</t>
  </si>
  <si>
    <t>Dialogue mental health &amp; wellbeing program, EAP, Global Fitness Reimbursement Program, Virgin Pulse, and accommodation policies</t>
  </si>
  <si>
    <t>Global Fitness Reimbursement Program</t>
  </si>
  <si>
    <t>Dialogue mental health and wellbeing program</t>
  </si>
  <si>
    <t>Offered through the group RRSP/DPSP program</t>
  </si>
  <si>
    <t>Virgin Pulse: completing wellbeing, mindfulness, and exercise tasks and challenges  Global Fitness Reimbursement program: the company motivates employees to stay active by providing a fitness reimbursement benefit</t>
  </si>
  <si>
    <t>Modern health</t>
  </si>
  <si>
    <t>Local site</t>
  </si>
  <si>
    <t>Lyra / ICAS</t>
  </si>
  <si>
    <t>Lyra and Northstar</t>
  </si>
  <si>
    <t>Q10.2</t>
  </si>
  <si>
    <t>Q10.3</t>
  </si>
  <si>
    <t>Q10.3_8_TEXT</t>
  </si>
  <si>
    <t>Q10.4</t>
  </si>
  <si>
    <t>Q10.5_1</t>
  </si>
  <si>
    <t>Q10.5_2</t>
  </si>
  <si>
    <t>Q10.5_3</t>
  </si>
  <si>
    <t>Q10.5_4</t>
  </si>
  <si>
    <t>Q10.5_5</t>
  </si>
  <si>
    <t>Q10.6</t>
  </si>
  <si>
    <t>Q10.7</t>
  </si>
  <si>
    <t>Q10.8</t>
  </si>
  <si>
    <t>Q10.8_10_TEXT</t>
  </si>
  <si>
    <t>Q10.10</t>
  </si>
  <si>
    <t>Q10.10_10_TEXT</t>
  </si>
  <si>
    <t>Q10.11</t>
  </si>
  <si>
    <t>Q10.11_7_TEXT</t>
  </si>
  <si>
    <t>Q10.12</t>
  </si>
  <si>
    <t>Q10.12_8_TEXT</t>
  </si>
  <si>
    <t>Q10.13</t>
  </si>
  <si>
    <t>Q10.13_8_TEXT</t>
  </si>
  <si>
    <t>Q10.14</t>
  </si>
  <si>
    <t>Q10.14_8_TEXT</t>
  </si>
  <si>
    <t>Q10.16</t>
  </si>
  <si>
    <t>Q10.16_10_TEXT</t>
  </si>
  <si>
    <t>Q10.17_1_1</t>
  </si>
  <si>
    <t>Q10.17_1_2</t>
  </si>
  <si>
    <t>Q10.17_2_1</t>
  </si>
  <si>
    <t>Q10.17_2_2</t>
  </si>
  <si>
    <t>Q10.17_3_1</t>
  </si>
  <si>
    <t>Q10.17_3_2</t>
  </si>
  <si>
    <t>Q10.17_4_1</t>
  </si>
  <si>
    <t>Q10.17_4_2</t>
  </si>
  <si>
    <t>Q10.17_5_1</t>
  </si>
  <si>
    <t>Q10.17_5_2</t>
  </si>
  <si>
    <t>Q10.17_6_1</t>
  </si>
  <si>
    <t>Q10.17_6_2</t>
  </si>
  <si>
    <t>Q10.18_1_1</t>
  </si>
  <si>
    <t>Q10.18_1_2</t>
  </si>
  <si>
    <t>Q10.18_2_1</t>
  </si>
  <si>
    <t>Q10.18_2_2</t>
  </si>
  <si>
    <t>Q10.18_3_1</t>
  </si>
  <si>
    <t>Q10.18_3_2</t>
  </si>
  <si>
    <t>Q10.18_4_1</t>
  </si>
  <si>
    <t>Q10.18_4_2</t>
  </si>
  <si>
    <t>Q10.18_5_1</t>
  </si>
  <si>
    <t>Q10.18_5_2</t>
  </si>
  <si>
    <t>Q10.18_6_1</t>
  </si>
  <si>
    <t>Q10.18_6_2</t>
  </si>
  <si>
    <t>Q10.19</t>
  </si>
  <si>
    <t>Q10.19_9_TEXT</t>
  </si>
  <si>
    <t>Q10.20</t>
  </si>
  <si>
    <t>Q10.20_12_TEXT</t>
  </si>
  <si>
    <t>Q10.22</t>
  </si>
  <si>
    <t>Q10.22_6_TEXT</t>
  </si>
  <si>
    <t>Q10.23</t>
  </si>
  <si>
    <t>Q10.24</t>
  </si>
  <si>
    <t>Q10.25</t>
  </si>
  <si>
    <t>Q10.26</t>
  </si>
  <si>
    <t>Q10.27</t>
  </si>
  <si>
    <t>Q10.28</t>
  </si>
  <si>
    <t>Q10.29</t>
  </si>
  <si>
    <t>Q10.29_4_TEXT</t>
  </si>
  <si>
    <t>Q10.30</t>
  </si>
  <si>
    <t>Q10.30_4_TEXT</t>
  </si>
  <si>
    <t>Q10.31</t>
  </si>
  <si>
    <t>Q10.31_7_TEXT</t>
  </si>
  <si>
    <t>Q10.33</t>
  </si>
  <si>
    <t>Q10.33_7_TEXT</t>
  </si>
  <si>
    <t>Q10.34</t>
  </si>
  <si>
    <t>Q10.34_9_TEXT</t>
  </si>
  <si>
    <t>Q10.35</t>
  </si>
  <si>
    <t>Q10.35_6_TEXT</t>
  </si>
  <si>
    <t>Q10.37</t>
  </si>
  <si>
    <t>Q10.38</t>
  </si>
  <si>
    <t>Q10.38_9_TEXT</t>
  </si>
  <si>
    <t>Q10.40</t>
  </si>
  <si>
    <t>Q10.40_8_TEXT</t>
  </si>
  <si>
    <t>Q10.41</t>
  </si>
  <si>
    <t>Q10.43</t>
  </si>
  <si>
    <t>Q10.43_8_TEXT</t>
  </si>
  <si>
    <t>Q10.44</t>
  </si>
  <si>
    <t>Q10.45</t>
  </si>
  <si>
    <t>Q10.46</t>
  </si>
  <si>
    <t>Q10.46_6_TEXT</t>
  </si>
  <si>
    <t>Q10.48</t>
  </si>
  <si>
    <t>Q10.48_8_TEXT</t>
  </si>
  <si>
    <t>Q10.49</t>
  </si>
  <si>
    <t>Q10.49_7_TEXT</t>
  </si>
  <si>
    <t>Q10.50</t>
  </si>
  <si>
    <t>Q10.51</t>
  </si>
  <si>
    <t>Q10.52</t>
  </si>
  <si>
    <t>Q10.53</t>
  </si>
  <si>
    <t>Q10.54</t>
  </si>
  <si>
    <t>Q10.55</t>
  </si>
  <si>
    <t>Q10.56</t>
  </si>
  <si>
    <t>Facilities</t>
  </si>
  <si>
    <t>Implemented this change</t>
  </si>
  <si>
    <t xml:space="preserve">Yes, at all locations  </t>
  </si>
  <si>
    <t>Public transportation</t>
  </si>
  <si>
    <t>All employees</t>
  </si>
  <si>
    <t>Employee receives an allowance to cover or supplement their costs</t>
  </si>
  <si>
    <t>Plan to implement within the next two years</t>
  </si>
  <si>
    <t>No, and we have no plans to implement</t>
  </si>
  <si>
    <t>Pay for toll fees</t>
  </si>
  <si>
    <t>Business need (e.g., sales position)</t>
  </si>
  <si>
    <t>Supervisor</t>
  </si>
  <si>
    <t>tool of trade</t>
  </si>
  <si>
    <t>Leased company car</t>
  </si>
  <si>
    <t>Yes, they may choose based on a certain type of vehicle (make, model)</t>
  </si>
  <si>
    <t>Vehicle is replaced after a certain number of kilometers</t>
  </si>
  <si>
    <t>100,001–150,000 KM</t>
  </si>
  <si>
    <t>Benefits</t>
  </si>
  <si>
    <t>Yes, at some locations</t>
  </si>
  <si>
    <t>Imputed income (taxable)</t>
  </si>
  <si>
    <t>Car allowance</t>
  </si>
  <si>
    <t>No plans to implement</t>
  </si>
  <si>
    <t>Parking benefits</t>
  </si>
  <si>
    <t>Professional sales</t>
  </si>
  <si>
    <t>Varies by employee level</t>
  </si>
  <si>
    <t>Allowance discontinued, grandfathered those who previously had</t>
  </si>
  <si>
    <t>No, the employee covers a portion of the cost</t>
  </si>
  <si>
    <t>reimbursement</t>
  </si>
  <si>
    <t>Company will pay up to $90CAD subsidy for public transportation, employees must place an order through the Opus &amp; Cie or OPUS +Enterprise program in order to receive this subsidy, if an employee parks at the office they can submit expenses to get reimbursed up to $90CAD a month for parking</t>
  </si>
  <si>
    <t>Q11.2</t>
  </si>
  <si>
    <t>Q11.3_1_1</t>
  </si>
  <si>
    <t>Q11.3_2_1</t>
  </si>
  <si>
    <t>Q11.3_3_1</t>
  </si>
  <si>
    <t>Q11.3_4_1</t>
  </si>
  <si>
    <t>Q11.3_5_1</t>
  </si>
  <si>
    <t>Q11.3_6_1</t>
  </si>
  <si>
    <t>Q11.3_7_1</t>
  </si>
  <si>
    <t>Q11.3_8_1</t>
  </si>
  <si>
    <t>Q11.3_9_1</t>
  </si>
  <si>
    <t>Q11.3_10_1</t>
  </si>
  <si>
    <t>Q11.3_11_1</t>
  </si>
  <si>
    <t>Q11.3_12_1</t>
  </si>
  <si>
    <t>Q11.3_13_1</t>
  </si>
  <si>
    <t>Q11.3_14_1</t>
  </si>
  <si>
    <t>Q11.3_15_1</t>
  </si>
  <si>
    <t>Q11.3_16_1</t>
  </si>
  <si>
    <t>Q11.4</t>
  </si>
  <si>
    <t>Q11.5</t>
  </si>
  <si>
    <t>Q11.6</t>
  </si>
  <si>
    <t>Q11.7</t>
  </si>
  <si>
    <t>Q11.8</t>
  </si>
  <si>
    <t>Q11.9</t>
  </si>
  <si>
    <t>Q11.10</t>
  </si>
  <si>
    <t>Q11.11</t>
  </si>
  <si>
    <t>Q11.12</t>
  </si>
  <si>
    <t>Q11.13</t>
  </si>
  <si>
    <t>Q11.14</t>
  </si>
  <si>
    <t>Q11.15</t>
  </si>
  <si>
    <t>Q11.16</t>
  </si>
  <si>
    <t>Q11.16_3_TEXT</t>
  </si>
  <si>
    <t>Q11.17</t>
  </si>
  <si>
    <t>Q11.18</t>
  </si>
  <si>
    <t>Q11.19</t>
  </si>
  <si>
    <t>Q11.19_9_TEXT</t>
  </si>
  <si>
    <t>Q11.20</t>
  </si>
  <si>
    <t>Q11.21</t>
  </si>
  <si>
    <t>Q11.22</t>
  </si>
  <si>
    <t>Q11.23</t>
  </si>
  <si>
    <t>Q11.24</t>
  </si>
  <si>
    <t>Q11.25</t>
  </si>
  <si>
    <t>Q11.26</t>
  </si>
  <si>
    <t>Q11.27</t>
  </si>
  <si>
    <t>Q11.28</t>
  </si>
  <si>
    <t>Q11.29</t>
  </si>
  <si>
    <t>Q11.30</t>
  </si>
  <si>
    <t>Must get pre-approval</t>
  </si>
  <si>
    <t>Gift/Experience</t>
  </si>
  <si>
    <t>MTM Recognition, Fond Discounts/Perks</t>
  </si>
  <si>
    <t>Must be related to job</t>
  </si>
  <si>
    <t>Cash</t>
  </si>
  <si>
    <t>Headspace meditation app and Lyra for Mental Wellbeing and Wellbeing</t>
  </si>
  <si>
    <t>Service awards</t>
  </si>
  <si>
    <t>Maintain a B- or better</t>
  </si>
  <si>
    <t>Darwin, Berlitz</t>
  </si>
  <si>
    <t>Tuition assistance</t>
  </si>
  <si>
    <t>Concur- reimbursement and $80 mobile phone allowance is paid through Payroll</t>
  </si>
  <si>
    <t>Home office benefits</t>
  </si>
  <si>
    <t>none</t>
  </si>
  <si>
    <t>Employees can expense utilities/services that they're using more of now that we are working from home</t>
  </si>
  <si>
    <t>Internet subsidy</t>
  </si>
  <si>
    <t>Internal</t>
  </si>
  <si>
    <t>Executive Finanical planning and Executive physical</t>
  </si>
  <si>
    <t>Employee decides with their manager how they want to celebrate milestone. Either a gift or an experience.</t>
  </si>
  <si>
    <t>N/A???</t>
  </si>
  <si>
    <t>All 5 year increments</t>
  </si>
  <si>
    <t>Employee choice. Value of the gift is based on years of service</t>
  </si>
  <si>
    <t>WorkHuman for service awards only</t>
  </si>
  <si>
    <t>Second medical opinion, wellbeing video platform, EAP, travel benefits and assistance, Breast Milk Shipping Service for Business Travel, Care.com</t>
  </si>
  <si>
    <t>Required for completing a career-related undergraduate or graduate degree program that leads to a degree (must be enrolled in a degree program)</t>
  </si>
  <si>
    <t>Varies</t>
  </si>
  <si>
    <t>Cash,Gift/Experience</t>
  </si>
  <si>
    <t>Annual Preventive Health Assessments</t>
  </si>
  <si>
    <t>Employee selection</t>
  </si>
  <si>
    <t>BI Worldwide</t>
  </si>
  <si>
    <t>Executive Medical Perq Cars</t>
  </si>
  <si>
    <t>6 months or must return all reimbursement 12 months, must repay 50% of reimbursement 18 months, must repay 25% of reimbursement"</t>
  </si>
  <si>
    <t>Catalog gift to choose from</t>
  </si>
  <si>
    <t>No max</t>
  </si>
  <si>
    <t>Additional time off,Gift/Experience</t>
  </si>
  <si>
    <t>Retirement gift - Company mantel clock</t>
  </si>
  <si>
    <t>varies</t>
  </si>
  <si>
    <t>Adoption and Surrogacy assistance.</t>
  </si>
  <si>
    <t>Bright Horizons, Rethink, Cognition Builders</t>
  </si>
  <si>
    <t>points based on service milestone reached that can be redeemed for gifts, experiences and gift cards</t>
  </si>
  <si>
    <t>CLEO, TaskHuman</t>
  </si>
  <si>
    <t>credits to rewards platform, redeemable for products</t>
  </si>
  <si>
    <t>Flexible hours, work-life balance.</t>
  </si>
  <si>
    <t>In house</t>
  </si>
  <si>
    <t>They get an initial amount to set up their office plus an annual amount to cover internet and office supplies/</t>
  </si>
  <si>
    <t>We offer a lifetime allowance for fertility, surrogacy, and adoption expenses with Carrot.</t>
  </si>
  <si>
    <t>Care.com and Carrot</t>
  </si>
  <si>
    <t>1, 3, 5 and every 5 years thereafter. 3, 5 and 5 years thereafter receive points, 1 year does not.</t>
  </si>
  <si>
    <t>Excellence Points to be used for the purchase of items.</t>
  </si>
  <si>
    <t>Global Wellbeing Days</t>
  </si>
  <si>
    <t>Workhuman</t>
  </si>
  <si>
    <t>No specific vendor</t>
  </si>
  <si>
    <t>cellular and internet reimbursement is combined - 225 max per month</t>
  </si>
  <si>
    <t>Espresa or Expensify for reimbursements</t>
  </si>
  <si>
    <t>Other family friendly benefit</t>
  </si>
  <si>
    <t>Global offerings through Cleo, Fertility IQ, and Carrot.</t>
  </si>
  <si>
    <t>2 years</t>
  </si>
  <si>
    <t>Can choose from different gifts based on each milestone.</t>
  </si>
  <si>
    <t>Bright Horizons</t>
  </si>
  <si>
    <t>Money to purchase items to set up home offic</t>
  </si>
  <si>
    <t>OC Tanner</t>
  </si>
  <si>
    <t>Current performance is "meets expectations" or higher</t>
  </si>
  <si>
    <t>"$300 for home office set up $30/month for home internet"</t>
  </si>
  <si>
    <t>In good employee standing</t>
  </si>
  <si>
    <t>Trophy/plaque</t>
  </si>
  <si>
    <t>Personal Spending Account - $600 annually to use toward wellness items broadly defined.</t>
  </si>
  <si>
    <t>Sun Life, Perkopolis, Rethink, internal</t>
  </si>
  <si>
    <t>Various.  Carrot provides family planning benefit.  Internet and Mobile device reimbursements are done through Concur for remote workers only.</t>
  </si>
  <si>
    <t>Expensify</t>
  </si>
  <si>
    <t>Other perquisites and allowances</t>
  </si>
  <si>
    <t>Employee Stock Purchase Plan (ESPP) Business Travel Accident / Medical Expat Medical 1.5k USD PEPY  for training and skill developments plus LinkedIn Learning and Pluralsight Discount and gifts of company products and merchandise</t>
  </si>
  <si>
    <t>We offer many discounts for family resources such as permanent childcare discount (Kindercare), discounts at stores and many additional perks</t>
  </si>
  <si>
    <t>6 months</t>
  </si>
  <si>
    <t>Well-being/fitness reimbursement managed in-house</t>
  </si>
  <si>
    <t>Rethink Benefits and internal site</t>
  </si>
  <si>
    <t>N/A, most allowance are either reimbursable through Expensify or paid through payroll</t>
  </si>
  <si>
    <t>Q12.2</t>
  </si>
  <si>
    <t>Q12.3</t>
  </si>
  <si>
    <t>Q12.4</t>
  </si>
  <si>
    <t>Q12.5</t>
  </si>
  <si>
    <t>Varies based on employee elections</t>
  </si>
  <si>
    <t>Different by tier</t>
  </si>
  <si>
    <t>Health Care Spending Accounts</t>
  </si>
  <si>
    <t>Q13.2</t>
  </si>
  <si>
    <t>Q13.3</t>
  </si>
  <si>
    <t>Q13.4</t>
  </si>
  <si>
    <t>Critical illness and optional life</t>
  </si>
  <si>
    <t>Dependent Life Critical Illness Optional life &amp; AD&amp;D</t>
  </si>
  <si>
    <t>Optional Life and AD&amp;D for employees and OptionalLife for Spouse</t>
  </si>
  <si>
    <t>Province with the largest benefits-eligible headcount</t>
  </si>
  <si>
    <t>Other province with the largest benefits-eligible headcount</t>
  </si>
  <si>
    <t>Average age of Canada benefits-eligible employees</t>
  </si>
  <si>
    <t>Gender identities tracked</t>
  </si>
  <si>
    <t>Percentage of benefits-eligible workforce: Male</t>
  </si>
  <si>
    <t>Percentage of benefits-eligible workforce: Female</t>
  </si>
  <si>
    <t>Percentage of benefits-eligible workforce: Nonbinary</t>
  </si>
  <si>
    <t>Percentage of benefits-eligible workforce: Did not disclose</t>
  </si>
  <si>
    <t>Percentage of employee population: Full-time remote</t>
  </si>
  <si>
    <t>Percentage of employee population: Hybrid</t>
  </si>
  <si>
    <t>Percentage of employee population: Full-time onsite</t>
  </si>
  <si>
    <t>Major accomplishments in 2022: Audits</t>
  </si>
  <si>
    <t>Major accomplishments in 2022: Communications</t>
  </si>
  <si>
    <t>Major accomplishments in 2022: Compliance</t>
  </si>
  <si>
    <t>Major accomplishments in 2022: Cost</t>
  </si>
  <si>
    <t>Major accomplishments in 2022: DE&amp;I</t>
  </si>
  <si>
    <t>Major accomplishments in 2022: Disability</t>
  </si>
  <si>
    <t>Major accomplishments in 2022: Employee experience</t>
  </si>
  <si>
    <t>Major accomplishments in 2022: Executive benefits</t>
  </si>
  <si>
    <t>Major accomplishments in 2022: Health plans</t>
  </si>
  <si>
    <t>Major accomplishments in 2022: Incentives and perquisites</t>
  </si>
  <si>
    <t>Major accomplishments in 2022: Leave of absence</t>
  </si>
  <si>
    <t>Major accomplishments in 2022: Mental health</t>
  </si>
  <si>
    <t>Major accomplishments in 2022: Pilots</t>
  </si>
  <si>
    <t>Major accomplishments in 2022: Request for proposal or information</t>
  </si>
  <si>
    <t>Major accomplishments in 2022: Retirement and savings</t>
  </si>
  <si>
    <t>Major accomplishments in 2022: Risk benefits</t>
  </si>
  <si>
    <t>Major accomplishments in 2022: Systems and tools</t>
  </si>
  <si>
    <t>Major accomplishments in 2022: Vacation and holidays</t>
  </si>
  <si>
    <t>Major accomplishments in 2022: Vendors or outsourcing services</t>
  </si>
  <si>
    <t>Major accomplishments in 2022: Voluntary benefits</t>
  </si>
  <si>
    <t>Major accomplishments in 2022: Wellness</t>
  </si>
  <si>
    <t>Top three health risks for company in Canada</t>
  </si>
  <si>
    <t>Other health risk for company in Canada</t>
  </si>
  <si>
    <t>Back to Index</t>
  </si>
  <si>
    <t>Offer some type of supplemental healthcare coverage</t>
  </si>
  <si>
    <t>Who is covered under the supplemental healthcare plan</t>
  </si>
  <si>
    <t>Dependents eligible to participate in the supplemental healthcare plan</t>
  </si>
  <si>
    <t>Other dependents eligible to participate in the supplemental healthcare plan</t>
  </si>
  <si>
    <t>Maximum eligibility age for children who are not full-time students</t>
  </si>
  <si>
    <t>Other maximum eligibility age for children who are not full-time students</t>
  </si>
  <si>
    <t>Maximum eligibility age for children who are full-time students</t>
  </si>
  <si>
    <t>Other maximum eligibility age for children who are full-time students</t>
  </si>
  <si>
    <t>Have a waiting period for participation in the supplemental healthcare plan for new employees</t>
  </si>
  <si>
    <t>Waiting period (days) for all employees</t>
  </si>
  <si>
    <t>Waiting period (days) for each employee group</t>
  </si>
  <si>
    <t>Supplemental healthcare policy has a pre-existing condition waiting period</t>
  </si>
  <si>
    <t>Pre-existing condition waiting period</t>
  </si>
  <si>
    <t>Other pre-existing condition waiting period</t>
  </si>
  <si>
    <t>Supplemental healthcare coverage has different levels/plan designs</t>
  </si>
  <si>
    <t>Different supplemental healthcare levels/plan designs</t>
  </si>
  <si>
    <t>Other type of coverage included in the supplemental healthcare plan</t>
  </si>
  <si>
    <t>Plan provides room and board for hospital and/or surgical benefits</t>
  </si>
  <si>
    <t>Room and board rate for hospital and/or surgical benefits in CAD</t>
  </si>
  <si>
    <t>Plan provides a daily hospital cash allowance for hospital and/or surgical benefits</t>
  </si>
  <si>
    <t>Daily hospital cash allowance in CAD</t>
  </si>
  <si>
    <t>Plan has a coinsurance for paramedical practitioners (e.g., acupuncturist, chiropractor, etc.)</t>
  </si>
  <si>
    <t>Percentage of coinsurance the employee pays on paramedical practitioners</t>
  </si>
  <si>
    <t>Plan caps the reimbursement for paramedical practitioners</t>
  </si>
  <si>
    <t>Annual maximum in CAD for paramedical practitioners</t>
  </si>
  <si>
    <t>Plan caps the number of visits to paramedical practitioners (e.g., acupuncturist, chiropractor, etc.)</t>
  </si>
  <si>
    <t>Annual maximum number of visits to paramedical practitioners</t>
  </si>
  <si>
    <t>Components covered under the prescription drug plan</t>
  </si>
  <si>
    <t>Prescription drug plan deductible in CAD</t>
  </si>
  <si>
    <t>Prescription drug plan has dispensing fee caps</t>
  </si>
  <si>
    <t>Dispensing fee cap in CAD</t>
  </si>
  <si>
    <t>Prescription drug plan has a generic substitution clause</t>
  </si>
  <si>
    <t>Prescription drug plan requires preauthorization for high-cost prescription drugs</t>
  </si>
  <si>
    <t>Other prescription drug plan preauthorization requirement for high-cost prescription drugs</t>
  </si>
  <si>
    <t>Plan caps the hearing aid benefits</t>
  </si>
  <si>
    <t>How the hearing aid benefits are capped</t>
  </si>
  <si>
    <t>Type of supplemental healthcare benefits provided to dependents are the same as those provided to employees</t>
  </si>
  <si>
    <t>How the benefits provided to dependents differ from those provided to employees</t>
  </si>
  <si>
    <t>How the benefit is paid for employee cover only (not dependents)</t>
  </si>
  <si>
    <t>How employee cost sharing is determined</t>
  </si>
  <si>
    <t>Monthly flat amount the employee is required to pay in CAD</t>
  </si>
  <si>
    <t>Percentage the employee is required to pay</t>
  </si>
  <si>
    <t>Monthly flat amount of the company contribution in CAD</t>
  </si>
  <si>
    <t>How cost sharing is determined</t>
  </si>
  <si>
    <t>How the benefit is paid for dependents - Spouse</t>
  </si>
  <si>
    <t>How the benefit is paid for dependents - Common-law partner</t>
  </si>
  <si>
    <t>How the benefit is paid for dependents - Children</t>
  </si>
  <si>
    <t>How the benefit is paid for dependents - Parents</t>
  </si>
  <si>
    <t>How the benefit is paid for dependents - Other</t>
  </si>
  <si>
    <t>How employee cost sharing is determined for dependent coverage</t>
  </si>
  <si>
    <t>Approach to insuring the supplemental healthcare coverage</t>
  </si>
  <si>
    <t>Other way the supplemental healthcare coverage is insured</t>
  </si>
  <si>
    <t>Vendor for the most prevalent healthcare plan</t>
  </si>
  <si>
    <t>Other vendor for the most prevalent healthcare plan</t>
  </si>
  <si>
    <t>Offer a Health Care Spending Account (HCSA)</t>
  </si>
  <si>
    <t>Employer contribution to the HCSA is the same amount for all employees</t>
  </si>
  <si>
    <t>Annual amount of the employer contribution per employee to the HCSA in CAD</t>
  </si>
  <si>
    <t>Annual amounts the employer contributes to the HCSA in CAD</t>
  </si>
  <si>
    <t>Offer some type of dental benefit</t>
  </si>
  <si>
    <t>Who is eligible to receive dental benefits</t>
  </si>
  <si>
    <t>Dependents eligible to participate in the dental plan</t>
  </si>
  <si>
    <t>Other dependents eligible to participate in the dental plan</t>
  </si>
  <si>
    <t>Have a waiting period for participation in the dental plan for new employees</t>
  </si>
  <si>
    <t>Dental benefit has different levels or plan designs</t>
  </si>
  <si>
    <t>Dental benefit different levels or plan designs</t>
  </si>
  <si>
    <t>Types of coverage included in the dental benefit plan</t>
  </si>
  <si>
    <t>Dental plan has a coinsurance on basic preventive and/or basic restorative services</t>
  </si>
  <si>
    <t>Percentage of coinsurance the employee pays on basic preventive services for the dental plan</t>
  </si>
  <si>
    <t>Percentage of coinsurance the employee pays on basic restorative services for the dental plan</t>
  </si>
  <si>
    <t>Dental plan has a coinsurance on major treatments</t>
  </si>
  <si>
    <t>Percentage of coinsurance the employee pays on major treatments for the dental plan</t>
  </si>
  <si>
    <t>Who is eligible to receive orthodontia services</t>
  </si>
  <si>
    <t>Other group(s) eligible to receive orthodontia services</t>
  </si>
  <si>
    <t>Dental plan has a coinsurance on orthodontics</t>
  </si>
  <si>
    <t>Percentage of coinsurance the employee pays on orthodontics for the dental plan</t>
  </si>
  <si>
    <t>Services that have maximum annual benefit amounts</t>
  </si>
  <si>
    <t>Other services that have maximum annual benefit amounts</t>
  </si>
  <si>
    <t>Annual maximum amount in CAD - Overall dental coverage</t>
  </si>
  <si>
    <t>Annual maximum amount in CAD - Basic preventive</t>
  </si>
  <si>
    <t>Annual maximum amount in CAD - Basic restorative</t>
  </si>
  <si>
    <t>Annual maximum amount in CAD - Major treatments</t>
  </si>
  <si>
    <t>Annual maximum amount in CAD - Orthodontics</t>
  </si>
  <si>
    <t>Annual maximum amount in CAD - Other</t>
  </si>
  <si>
    <t>Benefits provided to dependents are the same as those provided to employees</t>
  </si>
  <si>
    <t>How benefits provided to dependents differ from those provided to employees</t>
  </si>
  <si>
    <t>Other approach used to determine cost sharing</t>
  </si>
  <si>
    <t>How the dental benefit is paid for dependents - Spouse</t>
  </si>
  <si>
    <t>How the dental benefit is paid for dependents - Common-law partner</t>
  </si>
  <si>
    <t>How the dental benefit is paid for dependents - Children</t>
  </si>
  <si>
    <t>How the dental benefit is paid for dependents - Parents</t>
  </si>
  <si>
    <t>How the dental benefit is paid for dependents - Other</t>
  </si>
  <si>
    <t>Approach to insuring the dental benefits</t>
  </si>
  <si>
    <t>Other approach to insuring the dental benefits</t>
  </si>
  <si>
    <t>Type of carrier insured dental policy</t>
  </si>
  <si>
    <t>Other type of carrier insured dental policy</t>
  </si>
  <si>
    <t>Other policy that the carrier insured dental plan is a rider to</t>
  </si>
  <si>
    <t>Vendor for the most prevalent dental plan</t>
  </si>
  <si>
    <t>Other vendor for the most prevalent dental plan</t>
  </si>
  <si>
    <t>Offer some type of vision benefit</t>
  </si>
  <si>
    <t>Who is eligible to receive vision benefits</t>
  </si>
  <si>
    <t>Dependents eligible to participate in the vision plan</t>
  </si>
  <si>
    <t>Other dependents eligible to participate in the vision plan</t>
  </si>
  <si>
    <t>Have a waiting period for participation in the vision plan for new employees</t>
  </si>
  <si>
    <t>Vision benefit has different levels or plan designs</t>
  </si>
  <si>
    <t>Vision benefit different levels or plan designs</t>
  </si>
  <si>
    <t>Vision benefit has a coinsurance</t>
  </si>
  <si>
    <t>Percentage of coinsurance the employee pays on vision benefits</t>
  </si>
  <si>
    <t>Types of coverage included in the vision benefits plan</t>
  </si>
  <si>
    <t>Other types of coverage included in the vision benefits plan</t>
  </si>
  <si>
    <t>Frequency limit the plan allows - Basic lenses</t>
  </si>
  <si>
    <t>Frequency limit the plan allows - Contacts</t>
  </si>
  <si>
    <t>Frequency limit the plan allows - Exams</t>
  </si>
  <si>
    <t>Frequency limit the plan allows - Frames</t>
  </si>
  <si>
    <t>Frequency limit the plan allows - Visual Display Unit (VDU)</t>
  </si>
  <si>
    <t>Frequency limit the plan allows - Other</t>
  </si>
  <si>
    <t>Other frequency limits</t>
  </si>
  <si>
    <t>Maximum amount (CAD) per frequency - Basic lenses</t>
  </si>
  <si>
    <t>Maximum amount (CAD) per frequency - Contacts</t>
  </si>
  <si>
    <t>Maximum amount (CAD) per frequency - Exams</t>
  </si>
  <si>
    <t>Maximum amount (CAD) per frequency - Frames</t>
  </si>
  <si>
    <t>Maximum amount (CAD) per frequency - Visual Display Unit (VDU)</t>
  </si>
  <si>
    <t>Maximum amount (CAD) per frequency - Other</t>
  </si>
  <si>
    <t>How the vision benefit is paid for employee cover only (not dependents)</t>
  </si>
  <si>
    <t>How the vision benefit is paid for dependents - Spouse</t>
  </si>
  <si>
    <t>How the vision benefit is paid for dependents - Common-law partner</t>
  </si>
  <si>
    <t>How the vision benefit is paid for dependents - Children</t>
  </si>
  <si>
    <t>How the vision benefit is paid for dependents - Parents</t>
  </si>
  <si>
    <t>How the vision benefit is paid for dependents - Other</t>
  </si>
  <si>
    <t>Approach to insuring the vision benefit</t>
  </si>
  <si>
    <t>Other way the vision benefit is insured</t>
  </si>
  <si>
    <t>Type of carrier insured vision policy</t>
  </si>
  <si>
    <t>Other type of carrier insured vision policy</t>
  </si>
  <si>
    <t>Other policy that the carrier insured vision plan is a rider to</t>
  </si>
  <si>
    <t>Vendor for the most prevalent vision plan</t>
  </si>
  <si>
    <t>Other vendor for the most prevalent vision plan</t>
  </si>
  <si>
    <t>Provide a life insurance benefit</t>
  </si>
  <si>
    <t>Who is covered under the company-provided basic life insurance benefit (excluding any optional employee-paid top-up options)</t>
  </si>
  <si>
    <t>Dependents eligible to participate in the company-provided basic life insurance plan</t>
  </si>
  <si>
    <t>Other dependents eligible to participate in the company-provided basic life insurance plan</t>
  </si>
  <si>
    <t>Have a waiting period for participation in the life insurance plan for new employees</t>
  </si>
  <si>
    <t>Benefit formula used for the company-provided basic life insurance benefit</t>
  </si>
  <si>
    <t>Flat amount of the company-provided basic life insurance benefit provided in CAD</t>
  </si>
  <si>
    <t>Types of compensation eligible under the company-provided basic life insurance benefit</t>
  </si>
  <si>
    <t>Other types of compensation eligible under the company-provided basic life insurance benefit</t>
  </si>
  <si>
    <t>Multiple of earnings provided</t>
  </si>
  <si>
    <t>Other multiple of earnings provided</t>
  </si>
  <si>
    <t>Other benefit formula used to determine the amount of the company-provided basic life insurance benefit</t>
  </si>
  <si>
    <t>Company-provided basic life insurance benefit has a cap</t>
  </si>
  <si>
    <t>Maximum company-provided basic life insurance amount in CAD</t>
  </si>
  <si>
    <t>Type of life insurance benefits provided to dependents are the same as those provided to employees</t>
  </si>
  <si>
    <t xml:space="preserve">Employees can purchase employee life insurance coverage </t>
  </si>
  <si>
    <t>Life insurance coverage options available to employees</t>
  </si>
  <si>
    <t>Employees can purchase life insurance coverage for dependents</t>
  </si>
  <si>
    <t>Dependents eligible to participate in the additional life insurance coverage</t>
  </si>
  <si>
    <t>Other dependents eligible to participate in the additional life insurance coverage</t>
  </si>
  <si>
    <t>Life insurance coverage options available to dependents</t>
  </si>
  <si>
    <t>Cost sharing for the company-provided basic life insurance plan</t>
  </si>
  <si>
    <t>Approach to insuring life insurance coverage</t>
  </si>
  <si>
    <t>Other way the life insurance coverage is insured</t>
  </si>
  <si>
    <t>Vendor for the most prevalent life insurance plan</t>
  </si>
  <si>
    <t>Other vendor for the most prevalent life insurance plan</t>
  </si>
  <si>
    <t>Provide an AD&amp;D benefit</t>
  </si>
  <si>
    <t>Who is covered under the company-provided basic AD&amp;D benefit (excluding any optional employee-paid top-up options)</t>
  </si>
  <si>
    <t>Dependents eligible to participate in the company-provided basic AD&amp;D plan</t>
  </si>
  <si>
    <t>Other dependents eligible to participate in the company-provided basic AD&amp;D plan</t>
  </si>
  <si>
    <t>Have a waiting period for participation in the AD&amp;D plan for new employees</t>
  </si>
  <si>
    <t>What is covered under the company-provided basic AD&amp;D benefit plan</t>
  </si>
  <si>
    <t>Other areas covered under the company-provided basic AD&amp;D benefit plan</t>
  </si>
  <si>
    <t>Benefit formula used for the company-provided basic AD&amp;D benefit plan</t>
  </si>
  <si>
    <t>Flat amount of the company-provided basic AD&amp;D benefit provided in CAD</t>
  </si>
  <si>
    <t>Types of compensation eligible under the company-provided basic AD&amp;D benefit</t>
  </si>
  <si>
    <t>Other types of compensation eligible under the company-provided basic AD&amp;D benefit</t>
  </si>
  <si>
    <t>Benefit formula used to determine the amount of the company-provided basic AD&amp;D benefit</t>
  </si>
  <si>
    <t>Company-provided basic AD&amp;D has a cap</t>
  </si>
  <si>
    <t>Maximum company-provided basic AD&amp;D benefit amount in CAD</t>
  </si>
  <si>
    <t>Type of AD&amp;D benefits provided to dependents are the same as those provided to employees</t>
  </si>
  <si>
    <t>Employees can purchase employee AD&amp;D benefit coverage</t>
  </si>
  <si>
    <t>AD&amp;D coverage options available to employees</t>
  </si>
  <si>
    <t>Employees can purchase AD&amp;D coverage for dependents</t>
  </si>
  <si>
    <t>Dependents eligible to participate in the additional AD&amp;D coverage</t>
  </si>
  <si>
    <t>Other dependents eligible to participate in the additional AD&amp;D coverage</t>
  </si>
  <si>
    <t>Dependent AD&amp;D coverage options</t>
  </si>
  <si>
    <t>Cost sharing for the company-provided basic AD&amp;D benefit (excluding any optional employee-paid top-up options)</t>
  </si>
  <si>
    <t>Approach to insuring the AD&amp;D benefit coverage</t>
  </si>
  <si>
    <t>Other way the AD&amp;D benefit is insured</t>
  </si>
  <si>
    <t>Type of carrier insured AD&amp;D policy</t>
  </si>
  <si>
    <t>Other type of carrier insured AD&amp;D policy</t>
  </si>
  <si>
    <t>Other policy that the carrier insured AD&amp;D policy is a rider to</t>
  </si>
  <si>
    <t>Vendor for the most prevalent AD&amp;D benefit</t>
  </si>
  <si>
    <t>Other vendor for the most prevalent AD&amp;D benefit</t>
  </si>
  <si>
    <t>Type of critical illness or dread disease benefits offered to employees</t>
  </si>
  <si>
    <t>Who is covered under the company-provided basic critical illness benefit</t>
  </si>
  <si>
    <t>Dependents eligible to participate in the company-provided basic critical illness benefit plan</t>
  </si>
  <si>
    <t>Other dependents eligible to participate in the company-provided basic critical illness benefit plan</t>
  </si>
  <si>
    <t>Have a waiting period for participation in the critical illness plan for new employees</t>
  </si>
  <si>
    <t>Benefit formula used for this plan</t>
  </si>
  <si>
    <t>Flat amount of the benefit provided in CAD</t>
  </si>
  <si>
    <t>Types of compensation eligible under the plan</t>
  </si>
  <si>
    <t>Other types of compensation eligible under the plan</t>
  </si>
  <si>
    <t>Other benefit formula used to determine the amount of the benefit</t>
  </si>
  <si>
    <t>Company-provided basic critical illness benefit has a cap</t>
  </si>
  <si>
    <t>Maximum company-provided basic critical illness benefit amount in CAD</t>
  </si>
  <si>
    <t>Type of critical illness benefits provided to dependents are the same as those provided to employees</t>
  </si>
  <si>
    <t>Optional/voluntary critical illness coverage options available to employee</t>
  </si>
  <si>
    <t>Employees can buy optional/voluntary critical illness coverage for dependents</t>
  </si>
  <si>
    <t>Dependents eligible to participate in the optional/voluntary critical illness coverage</t>
  </si>
  <si>
    <t>Other dependents eligible to participate in the optional/voluntary critical illness coverage</t>
  </si>
  <si>
    <t>Optional/voluntary critical illness coverage options available to dependents</t>
  </si>
  <si>
    <t>Cost sharing for the company-provided basic critical illness coverage</t>
  </si>
  <si>
    <t>Approach to insuring the critical illness benefit coverage</t>
  </si>
  <si>
    <t>Other way the critical illness benefit is insured</t>
  </si>
  <si>
    <t>Type of carrier insured critical illness policy</t>
  </si>
  <si>
    <t>Other type of carrier insured critical illness policy</t>
  </si>
  <si>
    <t>Other policy that the carrier insured critical illness policy is a rider to</t>
  </si>
  <si>
    <t>Vendor for the most prevalent critical illness benefit</t>
  </si>
  <si>
    <t>Other vendor for the most prevalent critical illness benefit</t>
  </si>
  <si>
    <t>Company provides sick leave above statutory requirements</t>
  </si>
  <si>
    <t>Have a waiting period for participation for new employees</t>
  </si>
  <si>
    <t>Type of supplemental sick leave policy</t>
  </si>
  <si>
    <t>Number of days of supplemental sick leave per year an employee is entitled to - Paid</t>
  </si>
  <si>
    <t>Number of days of supplemental sick leave per year an employee is entitled to - Unpaid</t>
  </si>
  <si>
    <t>Supplemental sick leave policy requires proof (e.g., doctor's note)</t>
  </si>
  <si>
    <t>Supplemental sick leave can be carried forward to the next year</t>
  </si>
  <si>
    <t>Have a maximum number of days that can be carried forward</t>
  </si>
  <si>
    <t>Maximum number of days that can be carried forward</t>
  </si>
  <si>
    <t>How days above the carry forward maximum are treated</t>
  </si>
  <si>
    <t>Other way days above the carry forward maximum are treated</t>
  </si>
  <si>
    <t>Have a time limit for when the carry forward days must be used</t>
  </si>
  <si>
    <t>Time limit for the carry forward days</t>
  </si>
  <si>
    <t>How days above the carry forward time limit are treated</t>
  </si>
  <si>
    <t>Other way days above the carry forward time limit are treated</t>
  </si>
  <si>
    <t>Company provides supplemental short-term disability benefits to employees above statutory requirements and separate from any sick leave policy</t>
  </si>
  <si>
    <t>Elimination period (days) to receive supplemental short-term disability benefits</t>
  </si>
  <si>
    <t>Definition of short-term disability - Inability to perform:</t>
  </si>
  <si>
    <t>Other definition of short-term disability</t>
  </si>
  <si>
    <t>Types of compensation eligible under the supplemental short-term disability plan</t>
  </si>
  <si>
    <t>Other types of compensation eligible under the supplemental short-term disability plan</t>
  </si>
  <si>
    <t>Maximum duration (weeks) of the supplemental short-term disability benefit</t>
  </si>
  <si>
    <t>Provide the same benefit for the entire short-term disability period</t>
  </si>
  <si>
    <t>Supplemental short-term disability benefits formula</t>
  </si>
  <si>
    <t>Supplemental short-term disability benefit is capped</t>
  </si>
  <si>
    <t>Weekly maximum benefit per employee in CAD</t>
  </si>
  <si>
    <t xml:space="preserve">Cost sharing for the supplemental short-term disability plan </t>
  </si>
  <si>
    <t>Approach to insuring the supplemental short-term disability benefit</t>
  </si>
  <si>
    <t>Other way the supplemental short-term disability benefit is insured</t>
  </si>
  <si>
    <t>Type of carrier insured supplemental short-term disability benefits policy</t>
  </si>
  <si>
    <t>Other type of carrier insured supplemental short-term disability benefits policy</t>
  </si>
  <si>
    <t>Other policy that the carrier insured supplemental short-term disability benefits plan is a rider to</t>
  </si>
  <si>
    <t>Vendor for the most prevalent short-term disability benefit</t>
  </si>
  <si>
    <t>Other vendor for the most prevalent short-term disability benefit</t>
  </si>
  <si>
    <t>Company offers some type of supplemental long-term disability benefit, paid as a regular payment</t>
  </si>
  <si>
    <t>Elimination period (weeks) to receive supplemental long-term disability benefits</t>
  </si>
  <si>
    <t>Definition of long-term disability - Inability to perform:</t>
  </si>
  <si>
    <t>Other definition of long-term disability</t>
  </si>
  <si>
    <t>Types of compensation eligible under the supplemental long-term disability plan</t>
  </si>
  <si>
    <t>Other types of compensation eligible under the supplemental long-term disability plan</t>
  </si>
  <si>
    <t>Maximum duration of the supplemental long-term disability plan benefit</t>
  </si>
  <si>
    <t>Other maximum duration of the supplemental long-term disability plan benefit</t>
  </si>
  <si>
    <t>Maximum number of weeks for the supplemental long-term disability benefit</t>
  </si>
  <si>
    <t>Age that is not retirement age</t>
  </si>
  <si>
    <t>Provide the same benefit for the entire long-term disability period</t>
  </si>
  <si>
    <t>Supplemental long-term disability benefits formula</t>
  </si>
  <si>
    <t>Supplemental long-term disability benefit is capped</t>
  </si>
  <si>
    <t>Monthly maximum benefit per employee in CAD</t>
  </si>
  <si>
    <t xml:space="preserve">Cost sharing for the supplemental long-term disability plan </t>
  </si>
  <si>
    <t>Approach to insuring the supplemental long-term disability benefit</t>
  </si>
  <si>
    <t>Other way the supplemental long-term disability benefit is insured</t>
  </si>
  <si>
    <t>Type of carrier insured supplemental long-term disability policy</t>
  </si>
  <si>
    <t>Other type of carrier insured supplemental long-term disability policy</t>
  </si>
  <si>
    <t>Other policy that the carrier insured supplemental long-term disability policy is a rider to</t>
  </si>
  <si>
    <t>Vendor for the most prevalent long-term disability benefit</t>
  </si>
  <si>
    <t>Other vendor for the most prevalent long-term disability benefit</t>
  </si>
  <si>
    <t>Company offers some type of supplemental total permanent disability benefit, paid as a lump sum</t>
  </si>
  <si>
    <t>Benefit formula used for the supplemental total permanent disability plan</t>
  </si>
  <si>
    <t>Types of compensation eligible under the supplemental total permanent disability plan</t>
  </si>
  <si>
    <t>Other types of compensation eligible under the supplemental total permanent disability plan</t>
  </si>
  <si>
    <t>Supplemental total permanent disability benefit has a cap</t>
  </si>
  <si>
    <t>Maximum total permanent disability benefit amount in CAD</t>
  </si>
  <si>
    <t>Cost sharing for the supplemental total permanent disability plan</t>
  </si>
  <si>
    <t>Approach to insuring the supplemental total permanent disability benefit</t>
  </si>
  <si>
    <t>Other way the supplemental total permanent disability benefit is insured</t>
  </si>
  <si>
    <t>Type of carrier insured supplemental total permanent disability policy</t>
  </si>
  <si>
    <t>Other type of carrier insured supplemental total permanent disability policy</t>
  </si>
  <si>
    <t>Other policy that the carrier insured supplemental total permanent disability policy is a rider to</t>
  </si>
  <si>
    <t>Vendor for the most prevalent total permanent disability benefit</t>
  </si>
  <si>
    <t>Other vendor for the most prevalent total permanent disability benefit</t>
  </si>
  <si>
    <t>Provide a supplemental retirement or savings plan excluding any frozen plans that are no longer open to new joiners</t>
  </si>
  <si>
    <t>Types of supplemental retirement and/or savings plans provided</t>
  </si>
  <si>
    <t>Types of compensation used in calculating contributions</t>
  </si>
  <si>
    <t>Other types of compensation used in calculating contributions</t>
  </si>
  <si>
    <t>Percentage the company automatically contributes to the defined contribution plan</t>
  </si>
  <si>
    <t>Percentage of employee-paid contributions the company matches</t>
  </si>
  <si>
    <t>Company matching is capped</t>
  </si>
  <si>
    <t>How the company match is capped</t>
  </si>
  <si>
    <t>Maximum percentage the company matches</t>
  </si>
  <si>
    <t>Maximum flat amount the company matches in CAD</t>
  </si>
  <si>
    <t>Maximum other amount the company matches</t>
  </si>
  <si>
    <t>Company’s participation in the defined contribution plan</t>
  </si>
  <si>
    <t>Vesting schedule for company contributions</t>
  </si>
  <si>
    <t>Years of completed service required for cliff vesting</t>
  </si>
  <si>
    <t>Step vesting schedule</t>
  </si>
  <si>
    <t>Other vesting schedule</t>
  </si>
  <si>
    <t>Number of investment fund choices employees have</t>
  </si>
  <si>
    <t>Defined contribution plan default investment</t>
  </si>
  <si>
    <t>Other defined contribution plan default investment</t>
  </si>
  <si>
    <t>Percentage of employees who are invested in the company's default investment</t>
  </si>
  <si>
    <t>Vendor for the most prevalent defined contribution plan</t>
  </si>
  <si>
    <t>Other vendor for the most prevalent defined contribution plan</t>
  </si>
  <si>
    <t>Number of years of completed service required for cliff vesting</t>
  </si>
  <si>
    <t>Company provides provision for payment of an early retirement pension</t>
  </si>
  <si>
    <t>Age at which employees are eligible for an early retirement pension</t>
  </si>
  <si>
    <t>Number of years of service required for an early retirement pension</t>
  </si>
  <si>
    <t>Company's normal retirement age</t>
  </si>
  <si>
    <t>Other retirement age</t>
  </si>
  <si>
    <t>Hybrid plan details</t>
  </si>
  <si>
    <t>Company's participation in the Group RRSP plan</t>
  </si>
  <si>
    <t>Percentage the company automatically contribute to the Group RRSP plan</t>
  </si>
  <si>
    <t>How the company participates in the Group RRSP plan</t>
  </si>
  <si>
    <t>Company's participation in the Group TFSA plan</t>
  </si>
  <si>
    <t>Percentage the company automatically contributes to the Group TFSA plan</t>
  </si>
  <si>
    <t>How the company participates in the Group TFSA plan</t>
  </si>
  <si>
    <t>Other retirement plan details</t>
  </si>
  <si>
    <t>Company offers an alternative retirement plan for higher paid employees who are affected by capped retirement benefits</t>
  </si>
  <si>
    <t>Alternative plan the company provides</t>
  </si>
  <si>
    <t>Q8.88_1_1</t>
  </si>
  <si>
    <t>Q8.88_1_2</t>
  </si>
  <si>
    <t>Q8.88_1_3</t>
  </si>
  <si>
    <t>Q8.88_1_4</t>
  </si>
  <si>
    <t>Q8.88_1_5</t>
  </si>
  <si>
    <t>Q8.88_1_6</t>
  </si>
  <si>
    <t>Q8.88_1_7</t>
  </si>
  <si>
    <t>Q8.88_1_8</t>
  </si>
  <si>
    <t>Q8.88_1_9</t>
  </si>
  <si>
    <t>Q8.88_1_10</t>
  </si>
  <si>
    <t>Q8.88_1_11</t>
  </si>
  <si>
    <t>Q8.88_1_12</t>
  </si>
  <si>
    <t>Q8.88_1_13</t>
  </si>
  <si>
    <t>Q8.88_1_14</t>
  </si>
  <si>
    <t>Q8.88_1_15</t>
  </si>
  <si>
    <t>Q8.88_1_16</t>
  </si>
  <si>
    <t>Q8.88_1_17</t>
  </si>
  <si>
    <t>Q8.88_1_18</t>
  </si>
  <si>
    <t>Q8.88_2_1</t>
  </si>
  <si>
    <t>Q8.88_2_2</t>
  </si>
  <si>
    <t>Q8.88_2_3</t>
  </si>
  <si>
    <t>Q8.88_2_4</t>
  </si>
  <si>
    <t>Q8.88_2_5</t>
  </si>
  <si>
    <t>Q8.88_2_6</t>
  </si>
  <si>
    <t>Q8.88_2_7</t>
  </si>
  <si>
    <t>Q8.88_2_8</t>
  </si>
  <si>
    <t>Q8.88_2_9</t>
  </si>
  <si>
    <t>Q8.88_2_10</t>
  </si>
  <si>
    <t>Q8.88_2_11</t>
  </si>
  <si>
    <t>Q8.88_2_12</t>
  </si>
  <si>
    <t>Q8.88_2_13</t>
  </si>
  <si>
    <t>Q8.88_2_14</t>
  </si>
  <si>
    <t>Q8.88_2_15</t>
  </si>
  <si>
    <t>Q8.88_2_16</t>
  </si>
  <si>
    <t>Q8.88_2_17</t>
  </si>
  <si>
    <t>Q8.88_2_18</t>
  </si>
  <si>
    <t>Supplementary leaves offered above statutory requirements (either in pay and/or duration)</t>
  </si>
  <si>
    <t>Other supplementary leaves offered above statutory requirements (either in pay and/or duration)</t>
  </si>
  <si>
    <t>Have a waiting period for participation in annual leave/vacation time or PTO for new employees</t>
  </si>
  <si>
    <t>How vacation entitlement is determined</t>
  </si>
  <si>
    <t>Other ways vacation entitlement is determined</t>
  </si>
  <si>
    <t>Total amount of vacation/PTO time granted (including statutory requirements)</t>
  </si>
  <si>
    <t>Other total amount of vacation/PTO time granted (including statutory requirements)</t>
  </si>
  <si>
    <t>Vacation/PTO time entitlement policy</t>
  </si>
  <si>
    <t>Have a maximum amount of vacation/PTO time an employee may have</t>
  </si>
  <si>
    <t>Maximum amount of vacation/PTO time an employee may have</t>
  </si>
  <si>
    <t>How time above the vacation/PTO limit is treated</t>
  </si>
  <si>
    <t>Other ways time above the vacation/PTO limit are treated</t>
  </si>
  <si>
    <t>How days above the carry forward limit are treated</t>
  </si>
  <si>
    <t>Other ways days above the carry forward limit are treated</t>
  </si>
  <si>
    <t>Have a time limit on when the carry forward days must be used</t>
  </si>
  <si>
    <t>How long vacation days be carried forward for</t>
  </si>
  <si>
    <t>Earnings used to calculate vacation pay</t>
  </si>
  <si>
    <t>Other earnings used to calculate vacation pay</t>
  </si>
  <si>
    <t>Percentage used to calculate vacation pay</t>
  </si>
  <si>
    <t>Other percentage used to calculate vacation pay</t>
  </si>
  <si>
    <t>Allow employees to buy additional annual leave/vacation/PTO time</t>
  </si>
  <si>
    <t>Annual maximum number of days an employee may buy</t>
  </si>
  <si>
    <t>Allow employees to sell or donate annual leave/vacation/PTO time</t>
  </si>
  <si>
    <t>Annual maximum number of days an employee may sell or donate</t>
  </si>
  <si>
    <t>Have a waiting period for participation in supplemental maternity leave for new employees</t>
  </si>
  <si>
    <t>How the supplemental maternity leave is paid</t>
  </si>
  <si>
    <t>Number of weeks full pay for maternity leave is maintained</t>
  </si>
  <si>
    <t>Percentage of salary maintained during maternity leave, including Employment Insurance/Quebec Parental Insurance Plan (EI/QPIP) benefits</t>
  </si>
  <si>
    <t>Number of weeks of partial pay above statutory requirements for maternity leave is maintained</t>
  </si>
  <si>
    <t>Number of additional unpaid weeks of maternity leave provided</t>
  </si>
  <si>
    <t>Have a waiting period for participation in supplemental non-birth parent leave for new employees</t>
  </si>
  <si>
    <t>How the supplemental non-birth parent leave is paid</t>
  </si>
  <si>
    <t>Number of weeks full pay for non-birth-parent leave is maintained</t>
  </si>
  <si>
    <t>Percentage of salary maintained during non-birth parent leave, including Employment Insurance/Quebec Parental Insurance Plan (EI/QPIP) benefits</t>
  </si>
  <si>
    <t>Number of weeks partial pay above statutory requirements for non-birth parent leave is maintained</t>
  </si>
  <si>
    <t>Number of additional unpaid weeks of non-birth parent leave provided</t>
  </si>
  <si>
    <t>Have a waiting period for participation in supplemental parental leave for new employees</t>
  </si>
  <si>
    <t>How the supplemental parental leave is paid</t>
  </si>
  <si>
    <t>Number of weeks full pay for parental leave is maintained</t>
  </si>
  <si>
    <t>Percentage of salary maintained during parental leave, including Employment Insurance/Quebec Parental Insurance Plan (EI/QPIP) benefits</t>
  </si>
  <si>
    <t>Number of weeks partial pay above statutory requirements for parental leave is maintained</t>
  </si>
  <si>
    <t>Number of additional unpaid weeks of parental leave provided</t>
  </si>
  <si>
    <t>Provide grandparents time off for the birth of a grandchild</t>
  </si>
  <si>
    <t>Number of days provided to grandparents</t>
  </si>
  <si>
    <t>Have a waiting period for participation in supplemental adoption leave for new employees</t>
  </si>
  <si>
    <t>Have an adopted child age limit for employees to be eligible for adoption leave</t>
  </si>
  <si>
    <t>Age limit of the adopted child</t>
  </si>
  <si>
    <t>Other age limit of the adopted child</t>
  </si>
  <si>
    <t>How the supplemental adoption leave is paid</t>
  </si>
  <si>
    <t>Number of weeks full pay for adoption leave is maintained</t>
  </si>
  <si>
    <t>Percentage of salary maintained during adoption leave, including Employment Insurance/Quebec Parental Insurance Plan (EI/QPIP) benefits</t>
  </si>
  <si>
    <t>Number of weeks partial pay above statutory requirements for adoption leave is maintained</t>
  </si>
  <si>
    <t>Number of additional unpaid weeks of adoption leave provided</t>
  </si>
  <si>
    <t>Have a waiting period for participation in supplemental caregiver leave for new employees</t>
  </si>
  <si>
    <t>Relationships that qualify for caregiver leave</t>
  </si>
  <si>
    <t>Other relationships that qualify for caregiver leave</t>
  </si>
  <si>
    <t>How the supplemental caregiver leave is paid</t>
  </si>
  <si>
    <t>Number of days full pay for caregiver leave is maintained</t>
  </si>
  <si>
    <t>Percentage of salary maintained during caregiver leave</t>
  </si>
  <si>
    <t>Number of days partial pay above statutory requirements for caregiver leave is maintained</t>
  </si>
  <si>
    <t>Number of additional unpaid days of caregiver leave provided</t>
  </si>
  <si>
    <t>Caregiver leave policy requires proof (e.g., doctor's note)</t>
  </si>
  <si>
    <t>Caregiver leave policy limits the number of occasions for which employees can request caregiver leave</t>
  </si>
  <si>
    <t>Have a waiting period for participation in bereavement leave for new employees</t>
  </si>
  <si>
    <t>Relationships that qualify for bereavement leave</t>
  </si>
  <si>
    <t>Other relationships that qualify for bereavement leave</t>
  </si>
  <si>
    <t>Employees receive the same amount of leave regardless of relationship</t>
  </si>
  <si>
    <t>How the bereavement leave paid</t>
  </si>
  <si>
    <t>Number of days of bereavement leave provided - Paid</t>
  </si>
  <si>
    <t>Number of days of bereavement leave provided - Unpaid</t>
  </si>
  <si>
    <t>Paid leave (days) provided for - Brother or sister</t>
  </si>
  <si>
    <t>Paid leave (days) provided for - Brother-in-law or sister-in-law</t>
  </si>
  <si>
    <t>Paid leave (days) provided for - Child(ren)</t>
  </si>
  <si>
    <t>Paid leave (days) provided for - Cousin</t>
  </si>
  <si>
    <t>Paid leave (days) provided for - Common-law partner</t>
  </si>
  <si>
    <t>Paid leave (days) provided for - Foster children</t>
  </si>
  <si>
    <t>Paid leave (days) provided for - Friend</t>
  </si>
  <si>
    <t>Paid leave (days) provided for - Grandchildren</t>
  </si>
  <si>
    <t>Paid leave (days) provided for - Grandparent</t>
  </si>
  <si>
    <t>Paid leave (days) provided for - Grandparent-in-law</t>
  </si>
  <si>
    <t>Paid leave (days) provided for - Niece or nephew</t>
  </si>
  <si>
    <t>Paid leave (days) provided for - Parent</t>
  </si>
  <si>
    <t>Paid leave (days) provided for - Parent-in-law</t>
  </si>
  <si>
    <t>Paid leave (days) provided for - Spouse</t>
  </si>
  <si>
    <t>Paid leave (days) provided for - Stepchildren</t>
  </si>
  <si>
    <t>Paid leave (days) provided for - Uncle or aunt</t>
  </si>
  <si>
    <t>Paid leave (days) provided for - Any other member of employee's household</t>
  </si>
  <si>
    <t>Paid leave (days) provided for - Other</t>
  </si>
  <si>
    <t>Unpaid leave (days) provided for - Brother or sister</t>
  </si>
  <si>
    <t>Unpaid leave (days) provided for - Brother-in-law or sister-in-law</t>
  </si>
  <si>
    <t>Unpaid leave (days) provided for - Child(ren)</t>
  </si>
  <si>
    <t>Unpaid leave (days) provided for - Cousin</t>
  </si>
  <si>
    <t>Unpaid leave (days) provided for - Common-law partner</t>
  </si>
  <si>
    <t>Unpaid leave (days) provided for - Foster children</t>
  </si>
  <si>
    <t>Unpaid leave (days) provided for - Friend</t>
  </si>
  <si>
    <t>Unpaid leave (days) provided for - Grandchildren</t>
  </si>
  <si>
    <t>Unpaid leave (days) provided for - Grandparent</t>
  </si>
  <si>
    <t>Unpaid leave (days) provided for - Grandparent-in-law</t>
  </si>
  <si>
    <t>Unpaid leave (days) provided for - Niece or nephew</t>
  </si>
  <si>
    <t>Unpaid leave (days) provided for - Parent</t>
  </si>
  <si>
    <t>Unpaid leave (days) provided for - Parent-in-law</t>
  </si>
  <si>
    <t>Unpaid leave (days) provided for - Spouse</t>
  </si>
  <si>
    <t>Unpaid leave (days) provided for - Stepchildren</t>
  </si>
  <si>
    <t>Unpaid leave (days) provided for - Uncle or aunt</t>
  </si>
  <si>
    <t>Unpaid leave (days) provided for - Any other member of employee's household</t>
  </si>
  <si>
    <t>Unpaid leave (days) provided for - Other</t>
  </si>
  <si>
    <t>Pets are covered under the bereavement leave policy</t>
  </si>
  <si>
    <t>Bereavement leave requires proof</t>
  </si>
  <si>
    <t>Additional time off is offered if extensive travel is required (e.g., flight, different country, etc.)</t>
  </si>
  <si>
    <t>How the additional bereavement leave for extensive travel is paid</t>
  </si>
  <si>
    <t>Number of paid days of additional bereavement leave for extensive travel provided</t>
  </si>
  <si>
    <t>Number of unpaid days of additional bereavement leave for extensive travel provided</t>
  </si>
  <si>
    <t>Length of service requirement for an employee's first sabbatical</t>
  </si>
  <si>
    <t>How the sabbatical leave is paid</t>
  </si>
  <si>
    <t>Maximum length of the sabbatical leave</t>
  </si>
  <si>
    <t>Benefits continue during sabbatical leave</t>
  </si>
  <si>
    <t>Type of benefits that continue during sabbatical leave</t>
  </si>
  <si>
    <t>Number of shutdown days the company provides annually</t>
  </si>
  <si>
    <t>Company shutdown details</t>
  </si>
  <si>
    <t>Optional holidays that currently offer paid time off</t>
  </si>
  <si>
    <t>Other optional holidays that currently offer paid time off</t>
  </si>
  <si>
    <t>Optional holidays being considered to offer paid time off</t>
  </si>
  <si>
    <t>Paid leave (days) provided for - Charity projects/Volunteering</t>
  </si>
  <si>
    <t>Unpaid leave (days) provided for - Charity projects/Volunteering</t>
  </si>
  <si>
    <t>Paid leave (days) provided for - Fertility treatment</t>
  </si>
  <si>
    <t>Unpaid leave (days) provided for - Fertility treatment</t>
  </si>
  <si>
    <t>Paid leave (days) provided for - Gender affirmation</t>
  </si>
  <si>
    <t>Unpaid leave (days) provided for - Gender affirmation</t>
  </si>
  <si>
    <t>Paid leave (days) provided for - Jury duty</t>
  </si>
  <si>
    <t>Unpaid leave (days) provided for - Jury duty</t>
  </si>
  <si>
    <t>Paid leave (days) provided for - Marriage</t>
  </si>
  <si>
    <t>Unpaid leave (days) provided for - Marriage</t>
  </si>
  <si>
    <t>Paid leave (days) provided for - Military/Reserve</t>
  </si>
  <si>
    <t>Unpaid leave (days) provided for - Military/Reserve</t>
  </si>
  <si>
    <t>Paid leave (days) provided for - Miscarriage</t>
  </si>
  <si>
    <t>Unpaid leave (days) provided for - Miscarriage</t>
  </si>
  <si>
    <t>Paid leave (days) provided for - Personal days</t>
  </si>
  <si>
    <t>Unpaid leave (days) provided for - Personal days</t>
  </si>
  <si>
    <t>Paid leave (days) provided for - Study/Exam</t>
  </si>
  <si>
    <t>Unpaid leave (days) provided for - Study/Exam</t>
  </si>
  <si>
    <t>Jury service leave policy requires proof</t>
  </si>
  <si>
    <t>Requirements for an employee to take study leave</t>
  </si>
  <si>
    <t>Other requirements for an employee to take study leave</t>
  </si>
  <si>
    <t>Approach to providing paid time off to employees to vote on Election Day</t>
  </si>
  <si>
    <t>Other approach to providing paid time off to employees to vote on Election Day</t>
  </si>
  <si>
    <t>Frequency at which the leave policy is reviewed to support changing employee needs</t>
  </si>
  <si>
    <t>Truly differentiating or unique leave policies offered</t>
  </si>
  <si>
    <t>Have a formal wellbeing strategy and offering</t>
  </si>
  <si>
    <t>Have a defined wellbeing vision and strategic plan</t>
  </si>
  <si>
    <t>Other wellbeing vision and strategic plan</t>
  </si>
  <si>
    <t>How aligned the wellness program and the business strategy are</t>
  </si>
  <si>
    <t>How the company's health and wellbeing values are communicated</t>
  </si>
  <si>
    <t>Other ways the company's health and wellbeing values are communicated</t>
  </si>
  <si>
    <t>How the wellbeing program is communicated</t>
  </si>
  <si>
    <t>Other ways the wellbeing program is communicated</t>
  </si>
  <si>
    <t>Data used for strategic wellbeing planning and program design</t>
  </si>
  <si>
    <t>Other data used for strategic wellbeing planning and program design</t>
  </si>
  <si>
    <t>Areas considered when designing wellbeing programs</t>
  </si>
  <si>
    <t>Other areas considered when designing wellbeing programs</t>
  </si>
  <si>
    <t>Have wellbeing advocates in place to promote and support wellbeing</t>
  </si>
  <si>
    <t>Types of wellbeing advocates the company has</t>
  </si>
  <si>
    <t>Other types of wellbeing advocates the company has</t>
  </si>
  <si>
    <t>Support received by the wellbeing ambassadors and/or champions</t>
  </si>
  <si>
    <t>Other support received by the wellbeing ambassadors and/or champions</t>
  </si>
  <si>
    <t>Assistance mid-level managers and supervisors receive to support wellbeing</t>
  </si>
  <si>
    <t>Other assistance mid-level managers and supervisors receive to support wellbeing</t>
  </si>
  <si>
    <t>Have a corporate wellbeing vendor to help with the strategy, design, and communication of the wellbeing program</t>
  </si>
  <si>
    <t>Main corporate wellbeing strategic vendor</t>
  </si>
  <si>
    <t>Other main corporate wellbeing strategic vendor</t>
  </si>
  <si>
    <t>Wellbeing apps and tools offered to employees</t>
  </si>
  <si>
    <t>Other wellbeing apps and tools offered to employees</t>
  </si>
  <si>
    <t>Vendor used for wellbeing apps and tools</t>
  </si>
  <si>
    <t>Other vendor used for wellbeing apps and tools</t>
  </si>
  <si>
    <t>Who can use the wellbeing program</t>
  </si>
  <si>
    <t>Dependents eligible to participate in the wellbeing program</t>
  </si>
  <si>
    <t>Other dependents eligible to participate in the wellbeing program</t>
  </si>
  <si>
    <t>Policies and physical resources in place to support health and wellbeing</t>
  </si>
  <si>
    <t>Other policies and physical resources in place to support health and wellbeing</t>
  </si>
  <si>
    <t>Programs available to employees in addition to standard benefits</t>
  </si>
  <si>
    <t>Other programs available to employees in addition to standard benefits</t>
  </si>
  <si>
    <t>Maximum wellness reimbursement/stipend provided per employee per year in CAD</t>
  </si>
  <si>
    <t>Amount the company contributes to the LSA per employee per year in CAD</t>
  </si>
  <si>
    <t>Gym membership benefit has a maximum amount</t>
  </si>
  <si>
    <t>Maximum gym membership benefit per employee per year in CAD</t>
  </si>
  <si>
    <t>Have an employee assistance program (EAP)</t>
  </si>
  <si>
    <t>Timing of the EAP sessions offered to employees</t>
  </si>
  <si>
    <t>Number of EAP sessions offered to employees per incident</t>
  </si>
  <si>
    <t>Number of EAP sessions offered to employees per year</t>
  </si>
  <si>
    <t>Components included in the EAP</t>
  </si>
  <si>
    <t>Other components included in the EAP</t>
  </si>
  <si>
    <t>How employees access the EAP vendor's services</t>
  </si>
  <si>
    <t>Other ways employees access the EAP vendor's services</t>
  </si>
  <si>
    <t>EAP vendor</t>
  </si>
  <si>
    <t>Other EAP vendor</t>
  </si>
  <si>
    <t>Employees have sufficient access to providers with expertise in issues specific to race, age, gender, sexual orientation, and ability</t>
  </si>
  <si>
    <t>Offer other services supporting mental wellbeing outside of an EAP and medical plan</t>
  </si>
  <si>
    <t>Additional mental wellbeing services offered</t>
  </si>
  <si>
    <t>Financial wellbeing programs the company offers</t>
  </si>
  <si>
    <t>Other financial wellbeing programs the company offers</t>
  </si>
  <si>
    <t>How the financial wellbeing programs are offered</t>
  </si>
  <si>
    <t>Other ways the financial wellbeing programs are offered</t>
  </si>
  <si>
    <t>Additional information about how financial wellbeing programs are offered</t>
  </si>
  <si>
    <t>Provide monetary incentives for participation in wellbeing programs</t>
  </si>
  <si>
    <t>Monetary wellbeing incentives are contingent on completing required activities</t>
  </si>
  <si>
    <t>Conditions an employee must meet to receive a monetary wellbeing incentive</t>
  </si>
  <si>
    <t>Maximum annual monetary amount that can be earned under the wellbeing incentive program in CAD</t>
  </si>
  <si>
    <t>Non-monetary wellbeing incentives offered</t>
  </si>
  <si>
    <t>Other non-monetary wellbeing incentives offered</t>
  </si>
  <si>
    <t>How the impact of the wellbeing program is measured</t>
  </si>
  <si>
    <t>Other ways the impact of the wellbeing program is measured</t>
  </si>
  <si>
    <t>Participation rate for the program - Biometric screenings</t>
  </si>
  <si>
    <t>Participation rate for the program - Chronic disease management and coaching</t>
  </si>
  <si>
    <t>Participation rate for the program - Ergonomic assessments</t>
  </si>
  <si>
    <t>Participation rate for the program - Flu shots and vaccinations</t>
  </si>
  <si>
    <t>Participation rate for the program - Fitness/wellness challenges</t>
  </si>
  <si>
    <t>Participation rate for the program - Health screening</t>
  </si>
  <si>
    <t>Participation rate for the program - Smoking cessation program</t>
  </si>
  <si>
    <t>Participation rate for the program - Weight loss program</t>
  </si>
  <si>
    <t>Participation rate for the wellbeing app - Digital coaching</t>
  </si>
  <si>
    <t>Participation rate for the wellbeing app - Digital fitness app</t>
  </si>
  <si>
    <t>Participation rate for the wellbeing app - Mindfulness app</t>
  </si>
  <si>
    <t>Participation rate for the wellbeing app - Wellbeing portal/platform</t>
  </si>
  <si>
    <t>Company offers transportation benefits</t>
  </si>
  <si>
    <t xml:space="preserve">Departments primarily responsible for the company's transportation policy design </t>
  </si>
  <si>
    <t>Other departments primarily responsible for the transportation policy design</t>
  </si>
  <si>
    <t>How frequently the transportation policy is reviewed</t>
  </si>
  <si>
    <t>Steps taken towards promoting/ implementing a greener transportation program - Actively promoted other transportation (e.g., car pools, bicycles, etc.)</t>
  </si>
  <si>
    <t>Steps taken towards promoting/ implementing a greener transportation program - Added hybrid/electric vehicles to car fleet</t>
  </si>
  <si>
    <t>Steps taken towards promoting/ implementing a greener transportation program -  Limited vehicle options to those with lower CO2 emissions</t>
  </si>
  <si>
    <t>Steps taken towards promoting/ implementing a greener transportation program - Limited/reduced the number of company cars</t>
  </si>
  <si>
    <t>Steps taken towards promoting/ implementing a greener transportation program - Promoted the use of public transport by offering subsidies or allowances</t>
  </si>
  <si>
    <t>Offer free charging stations at Canadian offices for electric vehicles</t>
  </si>
  <si>
    <t>Other steps the company is taking to ensure a greener transportation program</t>
  </si>
  <si>
    <t>Programs included in the transportation policy</t>
  </si>
  <si>
    <t>Other programs included in the transportation policy</t>
  </si>
  <si>
    <t>Criteria used when determining employee eligibility for a car benefit (vehicle or allowance)</t>
  </si>
  <si>
    <t>Other criteria used when determining employee eligibility for a car benefit (vehicle or allowance)</t>
  </si>
  <si>
    <t>How the company determines the business need for a car benefit (vehicle or allowance)</t>
  </si>
  <si>
    <t>Other ways the company determines the business need for a car benefit (vehicle or allowance)</t>
  </si>
  <si>
    <t>Role that approves eligibility for car benefits</t>
  </si>
  <si>
    <t>Other role that approves eligibility for car benefits</t>
  </si>
  <si>
    <t>Groups in the organization (excluding sales positions) that are eligible for car benefits (vehicle or allowance)</t>
  </si>
  <si>
    <t>Other groups in the organization (excluding sales positions) that are eligible for car benefits (vehicle or allowance)</t>
  </si>
  <si>
    <t>Groups in the sales organization that are eligible for car benefits (vehicle or allowance)</t>
  </si>
  <si>
    <t>Other groups in the sales organization that are eligible for car benefits (vehicle or allowance)</t>
  </si>
  <si>
    <t>Benefits the car allowance policy includes</t>
  </si>
  <si>
    <t>Other benefits the car allowance policy includes</t>
  </si>
  <si>
    <t>Minimum annual car allowance value in CAD for - Directors (Non-sales classification)</t>
  </si>
  <si>
    <t>Maximum annual car allowance value in CAD for - Directors (Non-sales classification)</t>
  </si>
  <si>
    <t>Minimum annual car allowance value in CAD for - First line supervisors (Non-sales classification)</t>
  </si>
  <si>
    <t>Maximum annual car allowance value in CAD for - First line supervisors (Non-sales classification)</t>
  </si>
  <si>
    <t>Minimum annual car allowance value in CAD for - Managers (Non-sales classification)</t>
  </si>
  <si>
    <t>Maximum annual car allowance value in CAD for - Managers (Non-sales classification)</t>
  </si>
  <si>
    <t>Minimum annual car allowance value in CAD for - Non-management (Non-sales classification)</t>
  </si>
  <si>
    <t>Maximum annual car allowance value in CAD for - Non-management (Non-sales classification)</t>
  </si>
  <si>
    <t>Minimum annual car allowance value in CAD for - Top executives (Non-sales classification)</t>
  </si>
  <si>
    <t>Maximum annual car allowance value in CAD for - Top executives (Non-sales classification)</t>
  </si>
  <si>
    <t>Minimum annual car allowance value in CAD for - Other (Non-sales classification)</t>
  </si>
  <si>
    <t>Maximum annual car allowance value in CAD for - Other (Non-sales classification)</t>
  </si>
  <si>
    <t>Minimum annual car allowance value in CAD for - Directors (Sales classification)</t>
  </si>
  <si>
    <t>Maximum annual car allowance value in CAD for - Directors (Sales classification)</t>
  </si>
  <si>
    <t>Minimum annual car allowance value in CAD for - First line supervisors (Sales classification)</t>
  </si>
  <si>
    <t>Maximum annual car allowance value in CAD for - First line supervisors (Sales classification)</t>
  </si>
  <si>
    <t>Minimum annual car allowance value in CAD for - Managers (Sales classification)</t>
  </si>
  <si>
    <t>Maximum annual car allowance value in CAD for - Managers (Sales classification)</t>
  </si>
  <si>
    <t>Minimum annual car allowance value in CAD for - Non-management (Sales classification)</t>
  </si>
  <si>
    <t>Maximum annual car allowance value in CAD for - Non-management (Sales classification)</t>
  </si>
  <si>
    <t>Minimum annual car allowance value in CAD for - Top executives (Sales classification)</t>
  </si>
  <si>
    <t>Maximum annual car allowance value in CAD for - Top executives (Sales classification)</t>
  </si>
  <si>
    <t>Minimum annual car allowance value in CAD for - Other (Sales classification)</t>
  </si>
  <si>
    <t>Maximum annual car allowance value in CAD for - Other (Sales classification)</t>
  </si>
  <si>
    <t>Factors taken into consideration when determining the car allowance amount</t>
  </si>
  <si>
    <t>Other factors taken into consideration when determining the car allowance amount</t>
  </si>
  <si>
    <t xml:space="preserve">Instances when the car allowance is included as base pay for computing </t>
  </si>
  <si>
    <t xml:space="preserve">Other instances when the car allowance is included as base pay for computing </t>
  </si>
  <si>
    <t>Types of cars covered under the policy</t>
  </si>
  <si>
    <t>Other types of cars covered under the policy</t>
  </si>
  <si>
    <t>Have a policy/strategy of moving away from company cars</t>
  </si>
  <si>
    <t>Steps the company is taking to transition from company cars</t>
  </si>
  <si>
    <t>Employees are able to choose which vehicle they receive</t>
  </si>
  <si>
    <t>Vehicle replacement policy for employees eligible for a company-owned vehicle</t>
  </si>
  <si>
    <t>How frequently eligible employees receive a new company vehicle</t>
  </si>
  <si>
    <t>Kilometer threshold at which eligible employees receive a new company vehicle</t>
  </si>
  <si>
    <t>Duration of a typical lease</t>
  </si>
  <si>
    <t>Other duration of a typical lease</t>
  </si>
  <si>
    <t>Employees are permitted to purchase the vehicle once the lease agreement has ended</t>
  </si>
  <si>
    <t>Other ways to determine whether employees are permitted to purchase the vehicle once the lease agreement has ended</t>
  </si>
  <si>
    <t>Actions taken regarding company vehicles</t>
  </si>
  <si>
    <t>Other actions taken regarding company vehicles</t>
  </si>
  <si>
    <t>Employees provided with a personal car and driver</t>
  </si>
  <si>
    <t>Other employees provided with a personal car and driver</t>
  </si>
  <si>
    <t>Why the company provides employees with a personal car and driver</t>
  </si>
  <si>
    <t>Other reason the company provides employees with a personal car and driver</t>
  </si>
  <si>
    <t>Limitations placed on an employee's use of personal car and driver</t>
  </si>
  <si>
    <t>Other limitations placed on an employee's use of personal car and driver</t>
  </si>
  <si>
    <t>Provide prearranged employee transportation in all locations in Canada</t>
  </si>
  <si>
    <t>Why the company provides regular prearranged employee transportation to and from the office</t>
  </si>
  <si>
    <t>Other reason the company provides regular prearranged employee transportation to and from the office</t>
  </si>
  <si>
    <t>Employees provided with subsidized or free parking</t>
  </si>
  <si>
    <t>Other employees provided with subsidized or free parking</t>
  </si>
  <si>
    <t>Cost of parking is fully covered by the company</t>
  </si>
  <si>
    <t>Employees provided with a public transportation subsidy or benefit</t>
  </si>
  <si>
    <t>Other employees provided with a public transportation subsidy or benefit</t>
  </si>
  <si>
    <t>Benefit covers 100% of the cost of public transportation for eligible employees</t>
  </si>
  <si>
    <t>Amount paid per employee annually in CAD for public transportation</t>
  </si>
  <si>
    <t>Employees provided with a walking or cycling allowance (or related benefit)</t>
  </si>
  <si>
    <t>Other employees provided with a walking or cycling allowance (or related benefit)</t>
  </si>
  <si>
    <t>How the provision of this allowance (or related benefit) is determined</t>
  </si>
  <si>
    <t>Other ways the provision of this allowance (or related benefit) is determined</t>
  </si>
  <si>
    <t>Amount paid based on the distance of the commute</t>
  </si>
  <si>
    <t>Flat amount the company pays per employee annually in CAD for the walking/cycling allowance</t>
  </si>
  <si>
    <t>Subsidy provided to purchase a bicycle is capped</t>
  </si>
  <si>
    <t>Annual maximum bicycle subsidy per employee in CAD</t>
  </si>
  <si>
    <t>Company has any transportation benefits for which only executives are eligible to participate</t>
  </si>
  <si>
    <t>Transportation benefits for which only executives are eligible to participate</t>
  </si>
  <si>
    <t>Truly differentiating or unique transportation policies offered</t>
  </si>
  <si>
    <t>Employer-paid perquisites and allowances offered</t>
  </si>
  <si>
    <t>Annual maximum benefit amount provided for - Backup childcare</t>
  </si>
  <si>
    <t>Annual maximum benefit amount provided for - Backup elder/dependent care</t>
  </si>
  <si>
    <t>Annual maximum benefit amount provided for - Childcare</t>
  </si>
  <si>
    <t>Annual maximum benefit amount provided for - Clothing</t>
  </si>
  <si>
    <t>Annual maximum benefit amount provided for - Commuter benefits</t>
  </si>
  <si>
    <t>Annual maximum benefit amount provided for - Funeral ceremony expense assistance</t>
  </si>
  <si>
    <t>Annual maximum benefit amount provided for - Gifts for special events</t>
  </si>
  <si>
    <t xml:space="preserve">Annual maximum benefit amount provided for - Home office benefits  </t>
  </si>
  <si>
    <t xml:space="preserve">Annual maximum benefit amount provided for - Housing or accommodation allowance  </t>
  </si>
  <si>
    <t xml:space="preserve">Annual maximum benefit amount provided for - Internet subsidy  </t>
  </si>
  <si>
    <t>Annual maximum benefit amount provided for - Relocation assistance</t>
  </si>
  <si>
    <t>Annual maximum benefit amount provided for - Service awards</t>
  </si>
  <si>
    <t>Annual maximum benefit amount provided for - Wireless device subsidy</t>
  </si>
  <si>
    <t>Annual maximum benefit amount provided for - Other family friendly benefit</t>
  </si>
  <si>
    <t>Annual maximum benefit amount provided for - Other offering to remote workers</t>
  </si>
  <si>
    <t>Annual maximum benefit amount provided for - Other perquisites and allowances</t>
  </si>
  <si>
    <t>Daily meal subsidy/lunch voucher amount in CAD</t>
  </si>
  <si>
    <t>Number of backup childcare days available each year</t>
  </si>
  <si>
    <t>Number of backup elder/dependent care days available each year</t>
  </si>
  <si>
    <t>Have a waiting period for participation in the tuition assistance program for new employees</t>
  </si>
  <si>
    <t>Requirements for an employee to participate in the tuition assistance program</t>
  </si>
  <si>
    <t>Other requirements for an employee to participate in the tuition assistance program</t>
  </si>
  <si>
    <t>Tuition assistance covers MBAs</t>
  </si>
  <si>
    <t>Tuition assistance covers Executive MBAs</t>
  </si>
  <si>
    <t>Passing grade is required under the tuition assistance program</t>
  </si>
  <si>
    <t>Employees are required to stay with the company for a period of time after receiving tuition assistance</t>
  </si>
  <si>
    <t>Length of time that employees are required to stay with the company after receiving tuition assistance</t>
  </si>
  <si>
    <t>Other length of time employees are required to stay with the company after receiving tuition assistance</t>
  </si>
  <si>
    <t>Annual maximum tuition assistance, excluding MBAs, in CAD</t>
  </si>
  <si>
    <t>Annual maximum tuition assistance for MBAs in CAD</t>
  </si>
  <si>
    <t>Service milestones at which service awards are given</t>
  </si>
  <si>
    <t>Other service milestones at which service awards are given</t>
  </si>
  <si>
    <t>Offered in recognition of service milestones</t>
  </si>
  <si>
    <t>Amount of cash in CAD provided for each milestone</t>
  </si>
  <si>
    <t>Additional time off (days) provided for each milestone</t>
  </si>
  <si>
    <t>Gifts/experiences provided for each milestone</t>
  </si>
  <si>
    <t>Other offerings in recognition of service milestones</t>
  </si>
  <si>
    <t>Other offering to remote workers</t>
  </si>
  <si>
    <t>Other innovative benefits the company offers</t>
  </si>
  <si>
    <t>Vendor used to provide perquisites and allowances</t>
  </si>
  <si>
    <t>Company has any perquisites and/or allowances for which only executives are eligible to participate</t>
  </si>
  <si>
    <t>Perquisites and/or allowances for which only executives are eligible to participate</t>
  </si>
  <si>
    <t>Have a flexible/cafeteria benefits plan</t>
  </si>
  <si>
    <t>Benefit plans included in the flexible/cafeteria benefits plan</t>
  </si>
  <si>
    <t>Other benefits available in the flexible/cafeteria benefits plan</t>
  </si>
  <si>
    <t>Annual flex dollar amount provided to employees in CAD</t>
  </si>
  <si>
    <t>Provide voluntary benefits separate from a flex plan</t>
  </si>
  <si>
    <t>Types of voluntary benefits offered</t>
  </si>
  <si>
    <t>Other types of voluntary benefits offered</t>
  </si>
  <si>
    <t>Demographics</t>
  </si>
  <si>
    <t>Supplemental Healthcare</t>
  </si>
  <si>
    <t>Identifier</t>
  </si>
  <si>
    <t>Types of coverage included in the supplemental healthcare plan</t>
  </si>
  <si>
    <t>Prescription drug plan coinsurance (amount the employee pays)</t>
  </si>
  <si>
    <t>Other types of coverage included in the dental benefit plan</t>
  </si>
  <si>
    <t>Larkin</t>
  </si>
  <si>
    <t>200% of annual earnings to a maximum of $1,000,000, reducing by 50% at age 65</t>
  </si>
  <si>
    <t>DC Plan - Types of compensation used in calculating contributions</t>
  </si>
  <si>
    <t>DC Plan - Other types of compensation used in calculating contributions</t>
  </si>
  <si>
    <t>DC Plan - Employee participation level</t>
  </si>
  <si>
    <t>DC Plan - Mandatory minimum employee contribution, in percentage of salary</t>
  </si>
  <si>
    <t>DC Plan - Employees are allowed to make additional contributions above the minimum requirements</t>
  </si>
  <si>
    <t>DC Plan - Employee contributions are capped</t>
  </si>
  <si>
    <t>DC Plan - How employee contributions are capped</t>
  </si>
  <si>
    <t>DC Plan - Maximum percentage of compensation employees may contribute</t>
  </si>
  <si>
    <t>DC Plan - Annual maximum flat amount employees may contribute in CAD</t>
  </si>
  <si>
    <t>DC Plan - Other maximum amount employees may contribute</t>
  </si>
  <si>
    <t>DC Plan includes an auto-enrollment feature</t>
  </si>
  <si>
    <t>DC Plan includes an auto-escalation feature</t>
  </si>
  <si>
    <t>DC Plan - Approach to company participation</t>
  </si>
  <si>
    <t>DB Plan - Types of compensation used in calculating the benefit</t>
  </si>
  <si>
    <t>DB Plan - Other types of compensation used in calculating the benefit</t>
  </si>
  <si>
    <t>DB Plan - How compensation is defined in the benefit formula</t>
  </si>
  <si>
    <t>DB Plan - Other ways compensation is defined in the benefit formula</t>
  </si>
  <si>
    <t>DB Plan - Number of years of earnings the benefit is based upon</t>
  </si>
  <si>
    <t>DB Plan - Same percentage is applied to all earnings to calculate the benefit</t>
  </si>
  <si>
    <t>DB Plan - Percentage of earnings used to compute the benefit</t>
  </si>
  <si>
    <t>DB Plan - Benefit formula used</t>
  </si>
  <si>
    <t>DB Plan - Flat amount used to compute the benefit in CAD</t>
  </si>
  <si>
    <t>DB Plan - Vesting schedule</t>
  </si>
  <si>
    <t>How the public transportation benefit is provided to the employee</t>
  </si>
  <si>
    <t>Other ways the public transportation benefit is provided to the employee</t>
  </si>
  <si>
    <t>Percentage of pay provided during the supplemental short-term disability period</t>
  </si>
  <si>
    <t>Percentage of pay provided during the long-term disability period</t>
  </si>
  <si>
    <t>Percentage higher than government guidelines used to calculate vacation pay</t>
  </si>
  <si>
    <t>Caregiver leave policy limits details</t>
  </si>
  <si>
    <t>Mental health, Musculokeletal, Respiratory</t>
  </si>
  <si>
    <t>Cancer, Mental health, Musculokeletal</t>
  </si>
  <si>
    <t>High blood pressure, Mental health, Musculokeletal</t>
  </si>
  <si>
    <t>Mental health, Musculokeletal, Pregnancy</t>
  </si>
  <si>
    <t>Cancer, Mental health, Pregnancy</t>
  </si>
  <si>
    <t>Cancer, Diabetes, High blood pressure</t>
  </si>
  <si>
    <t>Cardiovascular, Diabetes, Musculokeletal</t>
  </si>
  <si>
    <t>Cancer, Cardiovascular, Respiratory</t>
  </si>
  <si>
    <t>Cardiovascular, Diabetes, Mental health</t>
  </si>
  <si>
    <t>Cancer, High blood pressure, Mental health</t>
  </si>
  <si>
    <t>Diabetes, Mental health, Musculokeletal</t>
  </si>
  <si>
    <t>Mental health, Pregnancy, Respiratory</t>
  </si>
  <si>
    <t>Diabetes, Mental health, Obesity/overweight</t>
  </si>
  <si>
    <t>Diabetes, Infertility, Respiratory</t>
  </si>
  <si>
    <t>Mental health, Pregnancy</t>
  </si>
  <si>
    <t>Cancer, Cardiovascular, High blood pressure</t>
  </si>
  <si>
    <t>Diabetes, Mental health, Pregnancy</t>
  </si>
  <si>
    <t>Diabetes, Mental health</t>
  </si>
  <si>
    <t>Diabetes, Mental health, Respiratory</t>
  </si>
  <si>
    <t>Infertility, Mental health, Pregnancy</t>
  </si>
  <si>
    <t>Mental health, Musculokeletal, Other, please specify:</t>
  </si>
  <si>
    <t>Infertility, Mental health, Other, please specify:</t>
  </si>
  <si>
    <t>Mental health, Respiratory, Other, please specify:</t>
  </si>
  <si>
    <t>Cancer, Other, please specify:</t>
  </si>
  <si>
    <t>Cancer, Mental health, Other, please specify:</t>
  </si>
  <si>
    <t>Diabetes, Mental health, Other, please specify:</t>
  </si>
  <si>
    <t>Diabetes, Infertility, Other, please specify:</t>
  </si>
  <si>
    <t>Mental health, Other, please specify:</t>
  </si>
  <si>
    <t>Diabetes, Other, please specify:</t>
  </si>
  <si>
    <t>Spouse, Common-law partner, Children</t>
  </si>
  <si>
    <t>Spouse, Children</t>
  </si>
  <si>
    <t>Ambulance services, Chiropractor, Emergency out-of-country treatments, Hearing benefits, Infertility treatments, Massage therapist, Medical supplies, Naturopath, Neurological disorders, Osteopath, Physiotherapist, Podiatrist, Prescription drugs, Private hospital room, Psychologist, Semi-private hospital room, Social worker, Speech therapist, Telemedicine, Vaccination shots</t>
  </si>
  <si>
    <t>Acupuncturist, Ambulance services, Chiropractor, Emergency out-of-country treatments, Hearing benefits, Massage therapist, Medical supplies, Naturopath, Osteopath, Physiotherapist, Podiatrist, Prescription drugs, Private duty nursing, Prosthetic devices, Psychologist, Semi-private hospital room, Social worker, Speech therapist, Vaccination shots</t>
  </si>
  <si>
    <t>Acupuncturist, Ambulance services, Chiropractor, Hearing benefits, Medical supplies, Naturopath, Neurological disorders, Osteopath, Physiotherapist, Podiatrist, Prescription drugs, Private duty nursing, Private hospital room, Prosthetic devices, Psychologist</t>
  </si>
  <si>
    <t>Acupuncturist, Chiropractor, Emergency out-of-country treatments, Hearing benefits, Massage therapist, Medical supplies, Naturopath, Osteopath, Physiotherapist, Podiatrist, Private duty nursing, Psychologist, Semi-private hospital room, Speech therapist</t>
  </si>
  <si>
    <t>Acupuncturist, Ambulance services, Chiropractor, Emergency out-of-country treatments, Hearing benefits, Massage therapist, Medical supplies, Naturopath, Neurological disorders, Osteopath, Physiotherapist, Podiatrist, Prescription drugs, Private duty nursing, Prosthetic devices, Psychologist, Semi-private hospital room, Social worker, Speech therapist, Telemedicine, Vaccination shots</t>
  </si>
  <si>
    <t>Chiropractor, Female egg preservation, Hearing benefits, Infertility treatments, Massage therapist, Medical supplies, Naturopath, Osteopath, Physiotherapist, Podiatrist, Prescription drugs, Private duty nursing, Prosthetic devices, Psychologist, Semi-private hospital room, Social worker, Speech therapist, Telemedicine</t>
  </si>
  <si>
    <t>Ambulance services, Chiropractor, Emergency out-of-country treatments, Female egg preservation, Infertility treatments, Medical supplies, Naturopath, Physiotherapist, Prescription drugs, Psychologist, Semi-private hospital room, Telemedicine, Vaccination shots</t>
  </si>
  <si>
    <t>Acupuncturist, Ambulance services, Chiropractor, Emergency out-of-country treatments, Hearing benefits, Massage therapist, Medical supplies, Naturopath, Physiotherapist, Podiatrist, Prescription drugs, Psychologist, Semi-private hospital room, Social worker, Speech therapist, Vaccination shots</t>
  </si>
  <si>
    <t>Acupuncturist, Ambulance services, Chiropractor, Emergency out-of-country treatments, Hearing benefits, Massage therapist, Medical supplies, Naturopath, Osteopath, Physiotherapist, Podiatrist, Prescription drugs, Prosthetic devices, Psychologist, Semi-private hospital room, Social worker, Speech therapist, Telemedicine</t>
  </si>
  <si>
    <t>Acupuncturist, Ambulance services, Chiropractor, Emergency out-of-country treatments, Female egg preservation, Hearing benefits, Infertility treatments, Massage therapist, Medical supplies, Naturopath, Neurological disorders, Osteopath, Physiotherapist, Podiatrist, Prescription drugs, Private duty nursing, Private hospital room, Prosthetic devices, Psychologist, Semi-private hospital room, Social worker, Speech therapist, Telemedicine, Vaccination shots, Other</t>
  </si>
  <si>
    <t>Acupuncturist, Ambulance services, Chiropractor, Emergency out-of-country treatments, Hearing benefits, Massage therapist, Medical supplies, Naturopath, Neurological disorders, Osteopath, Physiotherapist, Podiatrist, Prescription drugs, Prosthetic devices, Psychologist, Semi-private hospital room, Speech therapist, Telemedicine, Vaccination shots</t>
  </si>
  <si>
    <t>Acupuncturist, Ambulance services, Chiropractor, Hearing benefits, Infertility treatments, Massage therapist, Medical supplies, Naturopath, Neurological disorders, Osteopath, Physiotherapist, Podiatrist, Prescription drugs, Private duty nursing, Private hospital room, Prosthetic devices, Psychologist, Semi-private hospital room, Social worker, Speech therapist, Telemedicine, Vaccination shots</t>
  </si>
  <si>
    <t>Acupuncturist, Ambulance services, Chiropractor, Emergency out-of-country treatments, Gender affirmation services, Hearing benefits, Infertility treatments, Massage therapist, Medical supplies, Naturopath, Osteopath, Physiotherapist, Podiatrist, Prescription drugs, Private duty nursing, Psychologist, Semi-private hospital room, Social worker, Speech therapist, Telemedicine, Vaccination shots</t>
  </si>
  <si>
    <t>Acupuncturist, Ambulance services, Chiropractor, Emergency out-of-country treatments, Female egg preservation, Gender affirmation services, Hearing benefits, Infertility treatments, Massage therapist, Medical supplies, Naturopath, Neurological disorders, Osteopath, Physiotherapist, Podiatrist, Prescription drugs, Private duty nursing, Prosthetic devices, Psychologist, Semi-private hospital room, Social worker, Speech therapist, Telemedicine, Vaccination shots</t>
  </si>
  <si>
    <t>Acupuncturist, Ambulance services, Chiropractor, Emergency out-of-country treatments, Female egg preservation, Hearing benefits, Infertility treatments, Massage therapist, Medical supplies, Naturopath, Neurological disorders, Osteopath, Physiotherapist, Podiatrist, Prescription drugs, Private duty nursing, Prosthetic devices, Psychologist, Semi-private hospital room, Social worker, Speech therapist, Telemedicine, Vaccination shots</t>
  </si>
  <si>
    <t>Acupuncturist, Ambulance services, Chiropractor, Emergency out-of-country treatments, Hearing benefits, Massage therapist, Naturopath, Osteopath, Physiotherapist, Podiatrist, Prescription drugs, Private duty nursing, Private hospital room, Prosthetic devices, Psychologist, Semi-private hospital room, Social worker, Speech therapist, Telemedicine, Vaccination shots</t>
  </si>
  <si>
    <t>Acupuncturist, Ambulance services, Chiropractor, Emergency out-of-country treatments, Female egg preservation, Hearing benefits, Infertility treatments, Massage therapist, Medical supplies, Osteopath, Physiotherapist, Podiatrist, Prescription drugs, Private duty nursing, Private hospital room, Psychologist, Semi-private hospital room, Social worker, Speech therapist</t>
  </si>
  <si>
    <t>Acupuncturist, Ambulance services, Chiropractor, Emergency out-of-country treatments, Hearing benefits, Infertility treatments, Massage therapist, Medical supplies, Naturopath, Neurological disorders, Osteopath, Physiotherapist, Podiatrist, Prescription drugs, Private duty nursing, Prosthetic devices, Psychologist, Semi-private hospital room, Speech therapist, Telemedicine, Vaccination shots, Other</t>
  </si>
  <si>
    <t>Acupuncturist, Ambulance services, Chiropractor, Emergency out-of-country treatments, Hearing benefits, Massage therapist, Medical supplies, Naturopath, Osteopath, Physiotherapist, Podiatrist, Prescription drugs, Private duty nursing, Prosthetic devices, Psychologist, Semi-private hospital room, Social worker, Speech therapist</t>
  </si>
  <si>
    <t>Acupuncturist, Ambulance services, Chiropractor, Emergency out-of-country treatments, Hearing benefits, Infertility treatments, Massage therapist, Medical supplies, Naturopath, Osteopath, Physiotherapist, Podiatrist, Prescription drugs, Prosthetic devices, Psychologist, Semi-private hospital room, Social worker, Speech therapist, Telemedicine, Vaccination shots</t>
  </si>
  <si>
    <t>Acupuncturist, Ambulance services, Chiropractor, Gender affirmation services, Hearing benefits, Infertility treatments, Massage therapist, Naturopath, Osteopath, Physiotherapist, Podiatrist, Prescription drugs, Private duty nursing, Psychologist, Semi-private hospital room, Social worker, Vaccination shots</t>
  </si>
  <si>
    <t>Acupuncturist, Ambulance services, Chiropractor, Emergency out-of-country treatments, Gender affirmation services, Hearing benefits, Massage therapist, Medical supplies, Naturopath, Osteopath, Physiotherapist, Prescription drugs, Prosthetic devices, Psychologist, Semi-private hospital room, Social worker, Speech therapist, Telemedicine, Vaccination shots</t>
  </si>
  <si>
    <t>Ambulance services, Chiropractor, Emergency out-of-country treatments, Hearing benefits, Massage therapist, Medical supplies, Naturopath, Osteopath, Physiotherapist, Podiatrist, Prescription drugs, Psychologist, Semi-private hospital room, Social worker, Speech therapist, Telemedicine, Vaccination shots</t>
  </si>
  <si>
    <t>Acupuncturist, Ambulance services, Chiropractor, Emergency out-of-country treatments, Hearing benefits, Infertility treatments, Massage therapist, Medical supplies, Naturopath, Neurological disorders, Osteopath, Physiotherapist, Podiatrist, Prescription drugs, Prosthetic devices, Psychologist, Semi-private hospital room, Social worker, Speech therapist, Telemedicine, Vaccination shots</t>
  </si>
  <si>
    <t>Acupuncturist, Ambulance services, Chiropractor, Emergency out-of-country treatments, Hearing benefits, Infertility treatments, Massage therapist, Medical supplies, Naturopath, Neurological disorders, Osteopath, Physiotherapist, Podiatrist, Private duty nursing, Private hospital room, Prosthetic devices, Psychologist, Social worker, Speech therapist, Telemedicine, Vaccination shots</t>
  </si>
  <si>
    <t>Acupuncturist, Ambulance services, Chiropractor, Emergency out-of-country treatments, Hearing benefits, Massage therapist, Medical supplies, Naturopath, Osteopath, Physiotherapist, Podiatrist, Prescription drugs, Private hospital room, Psychologist, Semi-private hospital room, Social worker, Speech therapist, Vaccination shots</t>
  </si>
  <si>
    <t>Acupuncturist, Ambulance services, Chiropractor, Emergency out-of-country treatments, Female egg preservation, Hearing benefits, Infertility treatments, Massage therapist, Medical supplies, Naturopath, Neurological disorders, Osteopath, Physiotherapist, Podiatrist, Prescription drugs, Prosthetic devices, Psychologist, Semi-private hospital room, Social worker, Speech therapist, Telemedicine, Vaccination shots</t>
  </si>
  <si>
    <t>Acupuncturist, Ambulance services, Chiropractor, Emergency out-of-country treatments, Gender affirmation services, Hearing benefits, Infertility treatments, Massage therapist, Medical supplies, Naturopath, Neurological disorders, Osteopath, Physiotherapist, Podiatrist, Prescription drugs, Psychologist, Semi-private hospital room, Social worker, Speech therapist, Telemedicine, Vaccination shots</t>
  </si>
  <si>
    <t>Acupuncturist, Ambulance services, Chiropractor, Emergency out-of-country treatments, Gender affirmation services, Hearing benefits, Massage therapist, Medical supplies, Naturopath, Neurological disorders, Osteopath, Physiotherapist, Podiatrist, Prescription drugs, Private duty nursing, Private hospital room, Prosthetic devices, Psychologist, Semi-private hospital room, Social worker, Speech therapist, Telemedicine, Vaccination shots</t>
  </si>
  <si>
    <t>Female egg preservation, Gender affirmation services, Infertility treatments</t>
  </si>
  <si>
    <t>Acupuncturist, Ambulance services, Chiropractor, Emergency out-of-country treatments, Gender affirmation services, Hearing benefits, Massage therapist, Medical supplies, Naturopath, Neurological disorders, Osteopath, Physiotherapist, Podiatrist, Prescription drugs, Prosthetic devices, Psychologist, Semi-private hospital room, Social worker, Speech therapist, Telemedicine, Vaccination shots, Other</t>
  </si>
  <si>
    <t>Acupuncturist, Ambulance services, Chiropractor, Emergency out-of-country treatments, Hearing benefits, Massage therapist, Medical supplies, Naturopath, Osteopath, Physiotherapist, Podiatrist, Prescription drugs, Private duty nursing, Prosthetic devices, Psychologist, Semi-private hospital room, Social worker, Speech therapist, Telemedicine</t>
  </si>
  <si>
    <t>Acupuncturist, Ambulance services, Chiropractor, Emergency out-of-country treatments, Hearing benefits, Massage therapist, Medical supplies, Physiotherapist, Prosthetic devices, Psychologist, Semi-private hospital room, Speech therapist, Telemedicine, Vaccination shots</t>
  </si>
  <si>
    <t>Acupuncturist, Ambulance services, Chiropractor, Emergency out-of-country treatments, Hearing benefits, Massage therapist, Medical supplies, Naturopath, Neurological disorders, Osteopath, Physiotherapist, Podiatrist, Prescription drugs, Private hospital room, Prosthetic devices, Psychologist, Semi-private hospital room, Social worker, Speech therapist, Telemedicine, Vaccination shots</t>
  </si>
  <si>
    <t>Acupuncturist, Ambulance services, Chiropractor, Emergency out-of-country treatments, Hearing benefits, Infertility treatments, Massage therapist, Medical supplies, Naturopath, Osteopath, Physiotherapist, Podiatrist, Prescription drugs, Prosthetic devices, Psychologist, Semi-private hospital room, Social worker, Speech therapist</t>
  </si>
  <si>
    <t>Acupuncturist, Ambulance services, Chiropractor, Emergency out-of-country treatments, Gender affirmation services, Hearing benefits, Massage therapist, Medical supplies, Naturopath, Osteopath, Physiotherapist, Podiatrist, Prescription drugs, Private duty nursing, Psychologist, Semi-private hospital room, Social worker, Speech therapist, Telemedicine</t>
  </si>
  <si>
    <t>Acupuncturist, Ambulance services, Chiropractor, Emergency out-of-country treatments, Hearing benefits, Massage therapist, Medical supplies, Naturopath, Osteopath, Physiotherapist, Podiatrist, Prescription drugs, Private duty nursing, Prosthetic devices, Psychologist, Semi-private hospital room, Social worker, Speech therapist, Telemedicine, Vaccination shots</t>
  </si>
  <si>
    <t>Acupuncturist, Ambulance services, Chiropractor, Emergency out-of-country treatments, Hearing benefits, Massage therapist, Medical supplies, Naturopath, Neurological disorders, Osteopath, Physiotherapist, Podiatrist, Prescription drugs, Private duty nursing, Prosthetic devices, Psychologist, Semi-private hospital room, Social worker, Speech therapist, Vaccination shots</t>
  </si>
  <si>
    <t>Ambulance services, Chiropractor, Emergency out-of-country treatments, Hearing benefits, Infertility treatments, Massage therapist, Medical supplies, Naturopath, Osteopath, Physiotherapist, Podiatrist, Prescription drugs, Private duty nursing, Prosthetic devices, Psychologist, Semi-private hospital room, Social worker, Speech therapist, Vaccination shots</t>
  </si>
  <si>
    <t>Acupuncturist, Ambulance services, Chiropractor, Emergency out-of-country treatments, Gender affirmation services, Hearing benefits, Infertility treatments, Massage therapist, Medical supplies, Naturopath, Osteopath, Physiotherapist, Podiatrist, Prescription drugs, Prosthetic devices, Psychologist, Semi-private hospital room, Social worker, Speech therapist, Telemedicine, Vaccination shots, Other</t>
  </si>
  <si>
    <t>Acupuncturist, Ambulance services, Chiropractor, Emergency out-of-country treatments, Hearing benefits, Infertility treatments, Massage therapist, Medical supplies, Naturopath, Neurological disorders, Osteopath, Physiotherapist, Podiatrist, Prescription drugs, Prosthetic devices, Psychologist, Semi-private hospital room, Social worker, Speech therapist, Vaccination shots</t>
  </si>
  <si>
    <t>Acupuncturist, Ambulance services, Chiropractor, Emergency out-of-country treatments, Hearing benefits, Massage therapist, Medical supplies, Naturopath, Osteopath, Physiotherapist, Podiatrist, Prescription drugs, Psychologist, Semi-private hospital room, Social worker, Speech therapist, Telemedicine</t>
  </si>
  <si>
    <t>Ambulance services, Chiropractor, Emergency out-of-country treatments, Female egg preservation, Gender affirmation services, Hearing benefits, Infertility treatments, Massage therapist, Medical supplies, Naturopath, Neurological disorders, Osteopath, Physiotherapist, Podiatrist, Prescription drugs, Private duty nursing, Prosthetic devices, Psychologist, Semi-private hospital room, Social worker, Speech therapist, Telemedicine, Vaccination shots</t>
  </si>
  <si>
    <t>Acupuncturist, Ambulance services, Chiropractor, Emergency out-of-country treatments, Hearing benefits, Massage therapist, Medical supplies, Naturopath, Osteopath, Physiotherapist, Podiatrist, Prescription drugs, Psychologist, Semi-private hospital room, Social worker, Speech therapist, Vaccination shots</t>
  </si>
  <si>
    <t>Acupuncturist, Ambulance services, Chiropractor, Massage therapist, Medical supplies, Naturopath, Osteopath, Physiotherapist, Podiatrist, Prescription drugs, Psychologist, Semi-private hospital room</t>
  </si>
  <si>
    <t>Acupuncturist, Ambulance services, Chiropractor, Emergency out-of-country treatments, Hearing benefits, Infertility treatments, Massage therapist, Medical supplies, Naturopath, Neurological disorders, Osteopath, Physiotherapist, Podiatrist, Prescription drugs, Private duty nursing, Prosthetic devices, Psychologist, Semi-private hospital room, Social worker, Speech therapist, Telemedicine</t>
  </si>
  <si>
    <t>Acupuncturist, Ambulance services, Chiropractor, Emergency out-of-country treatments, Hearing benefits, Massage therapist, Medical supplies, Naturopath, Osteopath, Physiotherapist, Podiatrist, Prescription drugs, Private duty nursing, Private hospital room, Prosthetic devices, Psychologist, Social worker, Speech therapist, Telemedicine, Vaccination shots, Other</t>
  </si>
  <si>
    <t>Acupuncturist, Ambulance services, Chiropractor, Emergency out-of-country treatments, Hearing benefits, Infertility treatments, Massage therapist, Medical supplies, Naturopath, Osteopath, Physiotherapist, Podiatrist, Prescription drugs, Private duty nursing, Prosthetic devices, Psychologist, Semi-private hospital room, Social worker, Speech therapist, Telemedicine</t>
  </si>
  <si>
    <t>Acupuncturist, Ambulance services, Chiropractor, Emergency out-of-country treatments, Hearing benefits, Massage therapist, Medical supplies, Naturopath, Osteopath, Physiotherapist, Podiatrist, Prescription drugs, Private duty nursing, Psychologist, Semi-private hospital room, Social worker, Speech therapist, Vaccination shots</t>
  </si>
  <si>
    <t>Hearing benefits, Private hospital room, Semi-private hospital room</t>
  </si>
  <si>
    <t>Acupuncturist, Ambulance services, Chiropractor, Emergency out-of-country treatments, Hearing benefits, Infertility treatments, Massage therapist, Medical supplies, Naturopath, Osteopath, Physiotherapist, Podiatrist, Prescription drugs, Private duty nursing, Psychologist, Semi-private hospital room, Speech therapist, Telemedicine, Vaccination shots</t>
  </si>
  <si>
    <t>Acupuncturist, Ambulance services, Chiropractor, Emergency out-of-country treatments, Hearing benefits, Infertility treatments, Massage therapist, Medical supplies, Naturopath, Neurological disorders, Osteopath, Physiotherapist, Podiatrist, Prescription drugs, Private duty nursing, Private hospital room, Prosthetic devices, Psychologist, Semi-private hospital room, Social worker, Speech therapist, Vaccination shots</t>
  </si>
  <si>
    <t>Acupuncturist, Ambulance services, Chiropractor, Emergency out-of-country treatments, Hearing benefits, Infertility treatments, Massage therapist, Medical supplies, Naturopath, Osteopath, Physiotherapist, Podiatrist, Prescription drugs, Private duty nursing, Psychologist, Semi-private hospital room, Social worker, Speech therapist, Vaccination shots, Other</t>
  </si>
  <si>
    <t>Acupuncturist, Ambulance services, Chiropractor, Emergency out-of-country treatments, Hearing benefits, Massage therapist, Medical supplies, Naturopath, Osteopath, Physiotherapist, Podiatrist, Prescription drugs, Prosthetic devices, Psychologist, Semi-private hospital room, Social worker, Speech therapist, Vaccination shots</t>
  </si>
  <si>
    <t>Acupuncturist, Ambulance services, Chiropractor, Emergency out-of-country treatments, Gender affirmation services, Hearing benefits, Massage therapist, Medical supplies, Naturopath, Neurological disorders, Osteopath, Physiotherapist, Podiatrist, Prescription drugs, Private duty nursing, Prosthetic devices, Psychologist, Semi-private hospital room, Social worker, Speech therapist, Telemedicine, Vaccination shots</t>
  </si>
  <si>
    <t>AIDS/HIV treatment, Erectile dysfunction drugs, Fertility drugs, Smoking cessation aids</t>
  </si>
  <si>
    <t>AIDS/HIV treatment, Smoking cessation aids</t>
  </si>
  <si>
    <t>AIDS/HIV treatment, Cannabis for medical treatment</t>
  </si>
  <si>
    <t>Erectile dysfunction drugs, Smoking cessation aids</t>
  </si>
  <si>
    <t>Fertility drugs, Smoking cessation aids</t>
  </si>
  <si>
    <t>AIDS/HIV treatment, Erectile dysfunction drugs, Fertility drugs, Smoking cessation aids, Transition care drugs</t>
  </si>
  <si>
    <t>AIDS/HIV treatment, Cannabis for medical treatment, Erectile dysfunction drugs, Fertility drugs, Smoking cessation aids, Transition care drugs</t>
  </si>
  <si>
    <t>Fertility drugs, Transition care drugs</t>
  </si>
  <si>
    <t>AIDS/HIV treatment, Erectile dysfunction drugs, Fertility drugs, Transition care drugs</t>
  </si>
  <si>
    <t>AIDS/HIV treatment, Cannabis for medical treatment, Erectile dysfunction drugs, Fertility drugs</t>
  </si>
  <si>
    <t>AIDS/HIV treatment, Fertility drugs</t>
  </si>
  <si>
    <t>Erectile dysfunction drugs, Fertility drugs, Smoking cessation aids</t>
  </si>
  <si>
    <t>AIDS/HIV treatment, Erectile dysfunction drugs, Fertility drugs</t>
  </si>
  <si>
    <t>AIDS/HIV treatment, Transition care drugs</t>
  </si>
  <si>
    <t>AIDS/HIV treatment, Fertility drugs, Smoking cessation aids, Transition care drugs</t>
  </si>
  <si>
    <t>AIDS/HIV treatment, Cannabis for medical treatment, Fertility drugs</t>
  </si>
  <si>
    <t>AIDS/HIV treatment, Erectile dysfunction drugs, Smoking cessation aids</t>
  </si>
  <si>
    <t>AIDS/HIV treatment, Fertility drugs, Smoking cessation aids</t>
  </si>
  <si>
    <t>AIDS/HIV treatment, Fertility drugs, Transition care drugs</t>
  </si>
  <si>
    <t>AIDS/HIV treatment, Cannabis for medical treatment, Fertility drugs, Smoking cessation aids, Transition care drugs</t>
  </si>
  <si>
    <t>AIDS/HIV treatment, Cannabis for medical treatment, Fertility drugs, Transition care drugs</t>
  </si>
  <si>
    <t>Major treatments, Orthodontics</t>
  </si>
  <si>
    <t>Overall dental coverage, Orthodontics</t>
  </si>
  <si>
    <t>Basic preventive, Basic restorative</t>
  </si>
  <si>
    <t>Basic preventive, Basic restorative, Major treatments</t>
  </si>
  <si>
    <t>Overall dental coverage, Basic preventive, Basic restorative, Major treatments, Orthodontics</t>
  </si>
  <si>
    <t>Basic preventive, Major treatments, Orthodontics</t>
  </si>
  <si>
    <t>Basic preventive, Basic restorative, Major treatments, Orthodontics</t>
  </si>
  <si>
    <t>Basic restorative, Major treatments, Orthodontics</t>
  </si>
  <si>
    <t>Basic restorative, Major treatments</t>
  </si>
  <si>
    <t>Basic lenses, Contacts, Exam, Frames</t>
  </si>
  <si>
    <t>Basic lenses, Contacts, Exam</t>
  </si>
  <si>
    <t>Basic lenses, Contacts, Frames</t>
  </si>
  <si>
    <t>Basic lenses, Contacts, Exam, Frames, Visual Display Unit (VDU)</t>
  </si>
  <si>
    <t>Amalgam filling, Crown – porcelain with metal, Endodontics, Diagnostic and preventive (includes X-rays, exams, cleaning, sealants), Gingivectomy, Medically necessary, Orthodontics, Periodontics, Root canal</t>
  </si>
  <si>
    <t>Amalgam filling, Crown – porcelain with metal, Endodontics, Diagnostic and preventive (includes X-rays, exams, cleaning, sealants), Medically necessary, Orthodontics, Periodontics, Root canal</t>
  </si>
  <si>
    <t>Endodontics, Diagnostic and preventive (includes X-rays, exams, cleaning, sealants), Medically necessary, Orthodontics, Periodontics, Root canal</t>
  </si>
  <si>
    <t>Amalgam filling, Crown – porcelain with metal, Diagnostic and preventive (includes X-rays, exams, cleaning, sealants)</t>
  </si>
  <si>
    <t>Amalgam filling, Crown – porcelain with metal, Endodontics, Diagnostic and preventive (includes X-rays, exams, cleaning, sealants), Orthodontics, Periodontics, Root canal</t>
  </si>
  <si>
    <t>Amalgam filling, Crown – porcelain with metal, Endodontics, Diagnostic and preventive (includes X-rays, exams, cleaning, sealants), Periodontics, Root canal</t>
  </si>
  <si>
    <t>Amalgam filling, Crown – porcelain with metal, Diagnostic and preventive (includes X-rays, exams, cleaning, sealants), Orthodontics, Periodontics, Root canal, Other, please specify:</t>
  </si>
  <si>
    <t>Orthodontics, Other, please specify:</t>
  </si>
  <si>
    <t>Amalgam filling, Crown – porcelain with metal, Endodontics, Diagnostic and preventive (includes X-rays, exams, cleaning, sealants), Medically necessary, Periodontics, Root canal</t>
  </si>
  <si>
    <t>Amalgam filling, Crown – porcelain with metal, Endodontics, Diagnostic and preventive (includes X-rays, exams, cleaning, sealants), Gingivectomy, Orthodontics, Periodontics, Root canal</t>
  </si>
  <si>
    <t>Amalgam filling, Endodontics, Diagnostic and preventive (includes X-rays, exams, cleaning, sealants), Orthodontics, Periodontics, Root canal</t>
  </si>
  <si>
    <t>Amalgam filling, Crown – porcelain with metal, Endodontics, Diagnostic and preventive (includes X-rays, exams, cleaning, sealants), Gingivectomy, Medically necessary, Periodontics, Root canal</t>
  </si>
  <si>
    <t>Endodontics, Diagnostic and preventive (includes X-rays, exams, cleaning, sealants), Medically necessary, Orthodontics, Periodontics</t>
  </si>
  <si>
    <t>Crown – porcelain with metal, Endodontics, Diagnostic and preventive (includes X-rays, exams, cleaning, sealants), Orthodontics, Root canal</t>
  </si>
  <si>
    <t>Amalgam filling, Crown – porcelain with metal, Endodontics, Diagnostic and preventive (includes X-rays, exams, cleaning, sealants), Medically necessary, Periodontics</t>
  </si>
  <si>
    <t>Amalgam filling, Endodontics, Diagnostic and preventive (includes X-rays, exams, cleaning, sealants), Gingivectomy, Orthodontics, Periodontics, Root canal</t>
  </si>
  <si>
    <t>Amalgam filling, Crown – porcelain with metal, Endodontics, Diagnostic and preventive (includes X-rays, exams, cleaning, sealants), Gingivectomy, Medically necessary, Orthodontics, Periodontics, Root canal, Other, please specify:</t>
  </si>
  <si>
    <t>Amalgam filling, Crown – porcelain with metal, Diagnostic and preventive (includes X-rays, exams, cleaning, sealants), Medically necessary, Orthodontics, Periodontics, Root canal</t>
  </si>
  <si>
    <t>Amalgam filling, Crown – porcelain with metal, Endodontics, Diagnostic and preventive (includes X-rays, exams, cleaning, sealants), Medically necessary, Orthodontics, Periodontics, Root canal, Other, please specify:</t>
  </si>
  <si>
    <t>Amalgam filling, Crown – porcelain with metal, Endodontics, Diagnostic and preventive (includes X-rays, exams, cleaning, sealants), Gingivectomy, Medically necessary, Orthodontics, Periodontics</t>
  </si>
  <si>
    <t>Amalgam filling, Crown – porcelain with metal, Diagnostic and preventive (includes X-rays, exams, cleaning, sealants), Orthodontics</t>
  </si>
  <si>
    <t>Amalgam filling, Crown – porcelain with metal, Endodontics, Diagnostic and preventive (includes X-rays, exams, cleaning, sealants), Medically necessary, Orthodontics, Root canal</t>
  </si>
  <si>
    <t>Amalgam filling, Crown – porcelain with metal, Endodontics, Diagnostic and preventive (includes X-rays, exams, cleaning, sealants), Orthodontics, Root canal</t>
  </si>
  <si>
    <t>Overall dental coverage, Other, please specify:</t>
  </si>
  <si>
    <t>Overall dental coverage, Basic preventive, Basic restorative, Major treatments, Orthodontics, Other, please specify:</t>
  </si>
  <si>
    <t>Basic lenses, Contacts, Exam, Frames, Other, please specify:</t>
  </si>
  <si>
    <t>Basic lenses, Contacts, Exam, Other, please specify:</t>
  </si>
  <si>
    <t>Exam, Other, please specify:</t>
  </si>
  <si>
    <t>Base, Bonus, Commissions, Overtime</t>
  </si>
  <si>
    <t>Allowances, Base</t>
  </si>
  <si>
    <t>Base, Commissions</t>
  </si>
  <si>
    <t>Base, Bonus, Commissions</t>
  </si>
  <si>
    <t>Allowances, Base, Commissions</t>
  </si>
  <si>
    <t>Base, Bonus</t>
  </si>
  <si>
    <t>Base, Commissions, Overtime</t>
  </si>
  <si>
    <t>Allowances, Base, Bonus, Commissions, Overtime</t>
  </si>
  <si>
    <t>Spouse, Common-law partner</t>
  </si>
  <si>
    <t>Common-law partner, Children</t>
  </si>
  <si>
    <t>Accidental death, Accidental disability, Accidental dismemberment</t>
  </si>
  <si>
    <t>Accidental death, Accidental dismemberment</t>
  </si>
  <si>
    <t>Accidental disability, Accidental dismemberment</t>
  </si>
  <si>
    <t>Base, Other, please specify:</t>
  </si>
  <si>
    <t>Accidental death, Accidental dismemberment, Other, please specify:</t>
  </si>
  <si>
    <t>Allowances, Base, Bonus, Commissions, Retirement contributions</t>
  </si>
  <si>
    <t>Base, Overtime, Retirement contributions</t>
  </si>
  <si>
    <t>Allowances, Base, Bonus, Commissions</t>
  </si>
  <si>
    <t>Base, Bonus, Overtime</t>
  </si>
  <si>
    <t>Base, Overtime</t>
  </si>
  <si>
    <t>Base, Commissions, Other, please specify:</t>
  </si>
  <si>
    <t>Adoption, Annual leave/vacation time or paid time off (PTO), Bereavement, Caregiver, Holiday, Jury duty, Maternity, Military/Reserve, Non-birth parent, Parental, Personal, Sabbatical, Shutdown</t>
  </si>
  <si>
    <t>Annual leave/vacation time or paid time off (PTO), Charity projects/volunteering, Jury duty</t>
  </si>
  <si>
    <t>Non-birth parent, Parental, Personal</t>
  </si>
  <si>
    <t>Annual leave/vacation time or paid time off (PTO), Caregiver</t>
  </si>
  <si>
    <t>Adoption, Annual leave/vacation time or paid time off (PTO), Maternity, Parental</t>
  </si>
  <si>
    <t>Adoption, Annual leave/vacation time or paid time off (PTO), Bereavement, Fertility treatment, Holiday, Jury duty, Marriage, Maternity, Parental, Personal, Study/Exam</t>
  </si>
  <si>
    <t>Adoption, Bereavement, Maternity, Miscarriage, Non-birth parent, Parental</t>
  </si>
  <si>
    <t>Annual leave/vacation time or paid time off (PTO), Bereavement, Holiday, Maternity, Miscarriage, Parental</t>
  </si>
  <si>
    <t>Adoption, Annual leave/vacation time or paid time off (PTO), Bereavement, Caregiver, Charity projects/volunteering, Holiday, Jury duty, Maternity, Military/Reserve, Non-birth parent, Parental, Personal</t>
  </si>
  <si>
    <t>Adoption, Annual leave/vacation time or paid time off (PTO), Bereavement, Caregiver, Holiday, Jury duty, Marriage, Maternity, Military/Reserve, Miscarriage, Parental</t>
  </si>
  <si>
    <t>Adoption, Annual leave/vacation time or paid time off (PTO), Bereavement, Caregiver, Maternity, Non-birth parent, Personal</t>
  </si>
  <si>
    <t>Adoption, Annual leave/vacation time or paid time off (PTO), Bereavement, Caregiver, Charity projects/volunteering, Holiday, Jury duty, Maternity, Military/Reserve, Personal, Shutdown</t>
  </si>
  <si>
    <t>Adoption, Bereavement, Charity projects/volunteering, Holiday, Jury duty, Non-birth parent, Parental, Personal, Shutdown</t>
  </si>
  <si>
    <t>Annual leave/vacation time or paid time off (PTO), Bereavement, Charity projects/volunteering, Jury duty, Maternity, Non-birth parent, Parental</t>
  </si>
  <si>
    <t>Adoption, Annual leave/vacation time or paid time off (PTO), Bereavement, Holiday, Maternity, Miscarriage, Non-birth parent, Parental, Shutdown</t>
  </si>
  <si>
    <t>Adoption, Annual leave/vacation time or paid time off (PTO), Bereavement, Holiday, Jury duty, Maternity, Non-birth parent, Parental, Personal, Sabbatical</t>
  </si>
  <si>
    <t>Adoption, Annual leave/vacation time or paid time off (PTO), Bereavement, Caregiver, Charity projects/volunteering, Holiday, Jury duty, Maternity, Non-birth parent, Personal</t>
  </si>
  <si>
    <t>Adoption, Annual leave/vacation time or paid time off (PTO), Bereavement, Caregiver, Holiday, Jury duty, Maternity, Military/Reserve, Miscarriage, Non-birth parent, Parental, Personal, Shutdown</t>
  </si>
  <si>
    <t>Annual leave/vacation time or paid time off (PTO), Bereavement, Holiday, Maternity</t>
  </si>
  <si>
    <t>Adoption, Annual leave/vacation time or paid time off (PTO), Bereavement, Caregiver, Charity projects/volunteering, Holiday, Jury duty, Maternity, Military/Reserve, Miscarriage, Non-birth parent, Parental, Personal, Shutdown</t>
  </si>
  <si>
    <t>Adoption, Annual leave/vacation time or paid time off (PTO), Bereavement, Charity projects/volunteering, Jury duty, Maternity, Military/Reserve, Non-birth parent, Shutdown</t>
  </si>
  <si>
    <t>Adoption, Annual leave/vacation time or paid time off (PTO), Bereavement, Holiday, Jury duty, Maternity, Military/Reserve, Non-birth parent, Parental, Personal, Shutdown</t>
  </si>
  <si>
    <t>Annual leave/vacation time or paid time off (PTO), Charity projects/volunteering, Holiday, Jury duty, Marriage, Maternity, Military/Reserve, Parental, Sabbatical</t>
  </si>
  <si>
    <t>Adoption, Annual leave/vacation time or paid time off (PTO), Bereavement, Caregiver, Jury duty, Maternity, Non-birth parent, Parental, Personal, Shutdown</t>
  </si>
  <si>
    <t>Adoption, Annual leave/vacation time or paid time off (PTO), Bereavement, Caregiver, Holiday, Jury duty, Maternity, Non-birth parent, Parental</t>
  </si>
  <si>
    <t>Adoption, Annual leave/vacation time or paid time off (PTO), Bereavement, Holiday, Maternity, Miscarriage, Non-birth parent, Parental, Sabbatical, Shutdown</t>
  </si>
  <si>
    <t>Adoption, Annual leave/vacation time or paid time off (PTO), Bereavement, Charity projects/volunteering, Parental, Shutdown</t>
  </si>
  <si>
    <t>Adoption, Annual leave/vacation time or paid time off (PTO), Bereavement, Caregiver, Jury duty, Maternity, Parental, Sabbatical</t>
  </si>
  <si>
    <t>Adoption, Annual leave/vacation time or paid time off (PTO), Bereavement, Caregiver, Charity projects/volunteering, Maternity, Non-birth parent, Parental, Personal, Sabbatical</t>
  </si>
  <si>
    <t>Adoption, Annual leave/vacation time or paid time off (PTO), Holiday, Parental, Shutdown</t>
  </si>
  <si>
    <t>Adoption, Bereavement, Charity projects/volunteering, Holiday, Parental, Shutdown</t>
  </si>
  <si>
    <t>Adoption, Annual leave/vacation time or paid time off (PTO), Bereavement, Charity projects/volunteering, Holiday, Maternity, Parental, Personal</t>
  </si>
  <si>
    <t>Annual leave/vacation time or paid time off (PTO), Bereavement, Maternity, Non-birth parent</t>
  </si>
  <si>
    <t>Annual leave/vacation time or paid time off (PTO), Maternity, Military/Reserve, Personal</t>
  </si>
  <si>
    <t>Adoption, Annual leave/vacation time or paid time off (PTO), Bereavement, Maternity, Non-birth parent, Parental</t>
  </si>
  <si>
    <t>Adoption, Annual leave/vacation time or paid time off (PTO), Bereavement, Caregiver, Charity projects/volunteering, Gender affirmation, Holiday, Jury duty, Maternity, Non-birth parent, Parental, Personal, Sabbatical</t>
  </si>
  <si>
    <t>Annual leave/vacation time or paid time off (PTO), Bereavement, Holiday, Jury duty, Maternity, Non-birth parent, Parental, Personal</t>
  </si>
  <si>
    <t>Annual leave/vacation time or paid time off (PTO), Bereavement, Holiday, Shutdown</t>
  </si>
  <si>
    <t>Annual leave/vacation time or paid time off (PTO), Maternity, Non-birth parent, Parental</t>
  </si>
  <si>
    <t>Annual leave/vacation time or paid time off (PTO), Bereavement, Maternity, Miscarriage, Non-birth parent, Parental, Personal, Shutdown</t>
  </si>
  <si>
    <t>Adoption, Annual leave/vacation time or paid time off (PTO), Bereavement, Caregiver, Jury duty, Maternity, Military/Reserve, Parental, Personal, Shutdown</t>
  </si>
  <si>
    <t>Annual leave/vacation time or paid time off (PTO), Bereavement, Charity projects/volunteering, Holiday</t>
  </si>
  <si>
    <t>Adoption, Maternity, Parental</t>
  </si>
  <si>
    <t>Adoption, Annual leave/vacation time or paid time off (PTO), Bereavement, Caregiver, Holiday, Jury duty, Maternity, Miscarriage, Non-birth parent, Parental, Personal</t>
  </si>
  <si>
    <t>Annual leave/vacation time or paid time off (PTO), Bereavement, Charity projects/volunteering, Maternity, Personal</t>
  </si>
  <si>
    <t>Annual leave/vacation time or paid time off (PTO), Bereavement</t>
  </si>
  <si>
    <t>Adoption, Annual leave/vacation time or paid time off (PTO), Bereavement, Caregiver, Charity projects/volunteering, Holiday, Maternity, Miscarriage, Non-birth parent, Parental</t>
  </si>
  <si>
    <t>Adoption, Annual leave/vacation time or paid time off (PTO), Bereavement, Caregiver, Holiday, Maternity, Military/Reserve, Miscarriage, Non-birth parent, Parental</t>
  </si>
  <si>
    <t>Personal, Other, please specify:</t>
  </si>
  <si>
    <t>Adoption, Annual leave/vacation time or paid time off (PTO), Bereavement, Caregiver, Charity projects/volunteering, Holiday, Jury duty, Non-birth parent, Parental, Personal, Shutdown, Other, please specify:</t>
  </si>
  <si>
    <t>Annual leave/vacation time or paid time off (PTO), Bereavement, Charity projects/volunteering, Holiday, Maternity, Sabbatical, Other, please specify:</t>
  </si>
  <si>
    <t>Adoption, Annual leave/vacation time or paid time off (PTO), Bereavement, Charity projects/volunteering, Holiday, Maternity, Non-birth parent, Other, please specify:</t>
  </si>
  <si>
    <t>Adoption, Annual leave/vacation time or paid time off (PTO), Bereavement, Charity projects/volunteering, Holiday, Jury duty, Maternity, Non-birth parent, Parental, Shutdown, Other, please specify:</t>
  </si>
  <si>
    <t>Allowances, Base, Commissions, Overtime</t>
  </si>
  <si>
    <t>Allowances, Base, Bonus, Commissions, Overtime, Retirement contributions</t>
  </si>
  <si>
    <t>Child(ren), Common-law partner, Foster children, Parent, Parent-in-law, Spouse, Stepchildren</t>
  </si>
  <si>
    <t>Brother or sister, Brother-in-law or sister-in-law, Child(ren), Cousin, Common-law partner, Foster children, Grandchildren, Grandparent, Grandparent-in-law, Niece or nephew, Parent, Parent-in-law, Spouse, Stepchildren, Uncle or aunt</t>
  </si>
  <si>
    <t>Brother or sister, Child(ren), Common-law partner, Parent, Spouse</t>
  </si>
  <si>
    <t>Brother or sister, Brother-in-law or sister-in-law, Child(ren), Cousin, Common-law partner, Foster children, Grandchildren, Grandparent, Niece or nephew, Parent, Parent-in-law, Spouse, Uncle or aunt</t>
  </si>
  <si>
    <t>Child(ren), Common-law partner, Foster children, Parent, Spouse, Stepchildren</t>
  </si>
  <si>
    <t>Brother or sister, Brother-in-law or sister-in-law, Child(ren), Common-law partner, Grandchildren, Grandparent, Grandparent-in-law, Parent, Parent-in-law, Spouse, Stepchildren</t>
  </si>
  <si>
    <t>Brother or sister, Brother-in-law or sister-in-law, Child(ren), Cousin, Common-law partner, Parent, Parent-in-law, Spouse</t>
  </si>
  <si>
    <t>Brother or sister, Brother-in-law or sister-in-law, Child(ren), Common-law partner, Foster children, Grandchildren, Grandparent, Grandparent-in-law, Niece or nephew, Parent, Parent-in-law, Spouse, Stepchildren, Uncle or aunt</t>
  </si>
  <si>
    <t>Brother or sister, Child(ren), Common-law partner, Grandchildren, Grandparent, Parent, Spouse</t>
  </si>
  <si>
    <t>Brother or sister, Brother-in-law or sister-in-law, Child(ren), Cousin, Common-law partner, Foster children, Grandchildren, Grandparent, Grandparent-in-law, Niece or nephew, Parent, Parent-in-law, Spouse, Stepchildren, Uncle or aunt, Any other member of employee's household</t>
  </si>
  <si>
    <t>Brother or sister, Child(ren), Common-law partner, Foster children, Grandchildren, Grandparent, Parent, Parent-in-law, Spouse, Stepchildren</t>
  </si>
  <si>
    <t>Brother or sister, Brother-in-law or sister-in-law, Child(ren), Cousin, Common-law partner, Foster children, Friend, Grandchildren, Grandparent, Grandparent-in-law, Niece or nephew, Parent, Parent-in-law, Spouse, Stepchildren, Uncle or aunt, Any other member of employee's household</t>
  </si>
  <si>
    <t>Brother or sister, Child(ren), Common-law partner, Foster children, Niece or nephew, Parent, Parent-in-law, Spouse, Stepchildren</t>
  </si>
  <si>
    <t>Child(ren), Common-law partner, Parent, Parent-in-law, Spouse, Stepchildren</t>
  </si>
  <si>
    <t>Brother or sister, Brother-in-law or sister-in-law, Child(ren), Cousin, Common-law partner, Foster children, Grandchildren, Grandparent, Grandparent-in-law, Niece or nephew, Parent, Parent-in-law, Spouse, Stepchildren, Uncle or aunt, Other, please specify:</t>
  </si>
  <si>
    <t>Child(ren), Common-law partner, Foster children, Grandchildren, Grandparent, Grandparent-in-law, Parent, Parent-in-law, Spouse, Stepchildren</t>
  </si>
  <si>
    <t>Brother or sister, Brother-in-law or sister-in-law, Child(ren), Common-law partner, Foster children, Grandchildren, Grandparent, Grandparent-in-law, Niece or nephew, Parent, Parent-in-law, Spouse, Stepchildren, Any other member of employee's household</t>
  </si>
  <si>
    <t>Brother or sister, Child(ren), Parent, Spouse</t>
  </si>
  <si>
    <t>Brother or sister, Brother-in-law or sister-in-law, Child(ren), Common-law partner, Foster children, Grandchildren, Grandparent, Grandparent-in-law, Niece or nephew, Parent, Parent-in-law, Spouse, Stepchildren</t>
  </si>
  <si>
    <t>Brother or sister, Brother-in-law or sister-in-law, Child(ren), Cousin, Common-law partner, Grandparent, Grandparent-in-law, Niece or nephew, Parent, Parent-in-law, Spouse, Stepchildren, Uncle or aunt</t>
  </si>
  <si>
    <t>Brother or sister, Brother-in-law or sister-in-law, Child(ren), Common-law partner, Foster children, Grandchildren, Grandparent, Grandparent-in-law, Parent, Parent-in-law, Spouse, Stepchildren</t>
  </si>
  <si>
    <t>Brother or sister, Brother-in-law or sister-in-law, Child(ren), Common-law partner, Foster children, Parent, Parent-in-law, Spouse, Stepchildren</t>
  </si>
  <si>
    <t>Brother or sister, Brother-in-law or sister-in-law, Child(ren), Common-law partner, Foster children, Grandchildren, Grandparent, Parent, Parent-in-law, Spouse, Stepchildren</t>
  </si>
  <si>
    <t>Brother or sister, Brother-in-law or sister-in-law, Child(ren), Cousin, Common-law partner, Friend, Grandchildren, Grandparent, Grandparent-in-law, Niece or nephew, Parent, Parent-in-law, Spouse, Stepchildren, Uncle or aunt</t>
  </si>
  <si>
    <t>Child(ren), Common-law partner, Parent, Spouse</t>
  </si>
  <si>
    <t>Brother or sister, Child(ren), Common-law partner, Foster children, Grandparent, Parent, Parent-in-law, Spouse, Stepchildren</t>
  </si>
  <si>
    <t>Brother or sister, Brother-in-law or sister-in-law, Child(ren), Cousin, Common-law partner, Niece or nephew, Parent, Parent-in-law, Spouse, Stepchildren, Uncle or aunt</t>
  </si>
  <si>
    <t>Brother or sister, Child(ren), Common-law partner, Foster children, Grandchildren, Grandparent, Parent, Spouse, Stepchildren, Any other member of employee's household</t>
  </si>
  <si>
    <t>Brother or sister, Brother-in-law or sister-in-law, Child(ren), Cousin, Common-law partner, Grandchildren, Grandparent, Grandparent-in-law, Niece or nephew, Parent, Parent-in-law, Spouse, Stepchildren, Uncle or aunt, Any other member of employee's household</t>
  </si>
  <si>
    <t>Brother or sister, Brother-in-law or sister-in-law, Child(ren), Cousin, Common-law partner, Foster children, Friend, Grandchildren, Grandparent, Grandparent-in-law, Niece or nephew, Parent, Parent-in-law, Spouse, Stepchildren, Uncle or aunt</t>
  </si>
  <si>
    <t>Brother or sister, Brother-in-law or sister-in-law, Child(ren), Common-law partner, Grandparent, Grandparent-in-law, Parent, Parent-in-law, Spouse, Stepchildren</t>
  </si>
  <si>
    <t>Child(ren), Common-law partner, Foster children, Grandparent, Grandparent-in-law, Parent, Parent-in-law, Spouse, Stepchildren</t>
  </si>
  <si>
    <t>Brother or sister, Brother-in-law or sister-in-law, Child(ren), Common-law partner, Foster children, Grandchildren, Grandparent, Grandparent-in-law, Parent, Parent-in-law, Spouse, Stepchildren, Other, please specify:</t>
  </si>
  <si>
    <t>Brother or sister, Child(ren), Common-law partner, Foster children, Grandchildren, Grandparent, Grandparent-in-law, Parent, Parent-in-law, Spouse, Stepchildren, Other, please specify:</t>
  </si>
  <si>
    <t>Brother or sister, Brother-in-law or sister-in-law, Child(ren), Cousin, Common-law partner, Foster children, Friend, Grandchildren, Grandparent, Grandparent-in-law, Niece or nephew, Parent, Parent-in-law, Spouse, Stepchildren, Uncle or aunt, Any other member of employee's household, Other, please specify:</t>
  </si>
  <si>
    <t>Armistice/Remembrance Day, Boxing Day, Civic Holiday, Family Day</t>
  </si>
  <si>
    <t>Boxing Day, Flexible holiday for religious observance</t>
  </si>
  <si>
    <t>Armistice/Remembrance Day, Boxing Day, Civic Holiday, Family Day, National Day for Truth and Reconciliation</t>
  </si>
  <si>
    <t>Boxing Day, Civic Holiday, Easter Monday, Family Day</t>
  </si>
  <si>
    <t>Armistice/Remembrance Day, Civic Holiday, Easter Monday, National Day for Truth and Reconciliation</t>
  </si>
  <si>
    <t>Armistice/Remembrance Day, Boxing Day, Civic Holiday, Family Day, Flexible holiday for religious observance</t>
  </si>
  <si>
    <t>Armistice/Remembrance Day, Boxing Day, Civic Holiday, Flexible holiday for religious observance</t>
  </si>
  <si>
    <t>Armistice/Remembrance Day, Boxing Day, Civic Holiday, Easter Monday, Family Day</t>
  </si>
  <si>
    <t>Boxing Day, Civic Holiday, National Day for Truth and Reconciliation</t>
  </si>
  <si>
    <t>Armistice/Remembrance Day, Boxing Day, Civic Holiday, Easter Monday, Family Day, National Day for Truth and Reconciliation, Flexible holiday for religious observance</t>
  </si>
  <si>
    <t>Armistice/Remembrance Day, Boxing Day, Family Day, National Day for Truth and Reconciliation</t>
  </si>
  <si>
    <t>Boxing Day, Easter Monday, Family Day</t>
  </si>
  <si>
    <t>Armistice/Remembrance Day, Boxing Day, Civic Holiday, Easter Monday, National Day for Truth and Reconciliation</t>
  </si>
  <si>
    <t>Armistice/Remembrance Day, Boxing Day, Civic Holiday, National Day for Truth and Reconciliation, Flexible holiday for religious observance</t>
  </si>
  <si>
    <t>Civic Holiday, Easter Monday, National Day for Truth and Reconciliation</t>
  </si>
  <si>
    <t>Boxing Day, Civic Holiday, Family Day</t>
  </si>
  <si>
    <t>Boxing Day, Family Day, National Day for Truth and Reconciliation, Flexible holiday for religious observance, Other, please specify:</t>
  </si>
  <si>
    <t>Boxing Day, Civic Holiday, Easter Monday, Family Day, National Day for Truth and Reconciliation, Other, please specify:</t>
  </si>
  <si>
    <t>Armistice/Remembrance Day, Boxing Day, Civic Holiday, Easter Monday, Family Day, Other, please specify:</t>
  </si>
  <si>
    <t>Armistice/Remembrance Day, Boxing Day, Civic Holiday, Easter Monday, Family Day, National Day for Truth and Reconciliation, Flexible holiday for religious observance, Other, please specify:</t>
  </si>
  <si>
    <t>Armistice/Remembrance Day, Boxing Day, Civic Holiday, Easter Monday, National Day for Truth and Reconciliation, Other, please specify:</t>
  </si>
  <si>
    <t>Armistice/Remembrance Day, Boxing Day, Civic Holiday, Family Day, Flexible holiday for religious observance, Other, please specify:</t>
  </si>
  <si>
    <t>In company vision/mission statement, In goals and value statements, Senior leaders advocate, Separate ad hoc communication</t>
  </si>
  <si>
    <t>In company vision/mission statement, Senior leaders advocate</t>
  </si>
  <si>
    <t>In company vision/mission statement, In goals and value statements</t>
  </si>
  <si>
    <t>In company vision/mission statement, Senior leaders advocate, Separate ad hoc communication</t>
  </si>
  <si>
    <t>In company vision/mission statement, In goals and value statements, Senior leaders advocate</t>
  </si>
  <si>
    <t>In company vision/mission statement, Separate ad hoc communication</t>
  </si>
  <si>
    <t>In goals and value statements, Senior leaders advocate, Separate ad hoc communication</t>
  </si>
  <si>
    <t>Senior leaders advocate, Separate ad hoc communication</t>
  </si>
  <si>
    <t>In company vision/mission statement, Senior leaders advocate, Separate ad hoc communication, Other, please specify:</t>
  </si>
  <si>
    <t>Intranet, Wellness Week</t>
  </si>
  <si>
    <t>Employee Resource Groups, Intranet, Separate ad hoc communication campaign, Wellness Week</t>
  </si>
  <si>
    <t>Employee Resource Groups, Intranet, Separate ad hoc communication campaign</t>
  </si>
  <si>
    <t>Employee Resource Groups, Separate ad hoc communication campaign, Wellness Week</t>
  </si>
  <si>
    <t>Digital materials (e.g., email, newsletters, TV monitors, presentations, internal social networks or chat channels, etc.), Intranet, Printed materials (e.g., posters, flyers, table tents, etc.), Separate ad hoc communication campaign, Wellness Week</t>
  </si>
  <si>
    <t>Digital materials (e.g., email, newsletters, TV monitors, presentations, internal social networks or chat channels, etc.), Employee Resource Groups, Intranet, Printed materials (e.g., posters, flyers, table tents, etc.), Push text messages, Separate ad hoc communication campaign, Wellness Week</t>
  </si>
  <si>
    <t>Digital materials (e.g., email, newsletters, TV monitors, presentations, internal social networks or chat channels, etc.), Employee Resource Groups, Intranet</t>
  </si>
  <si>
    <t>Digital materials (e.g., email, newsletters, TV monitors, presentations, internal social networks or chat channels, etc.), Intranet</t>
  </si>
  <si>
    <t>Digital materials (e.g., email, newsletters, TV monitors, presentations, internal social networks or chat channels, etc.), Employee Resource Groups, Intranet, Separate ad hoc communication campaign</t>
  </si>
  <si>
    <t>Digital materials (e.g., email, newsletters, TV monitors, presentations, internal social networks or chat channels, etc.), Employee Resource Groups, Intranet, Printed materials (e.g., posters, flyers, table tents, etc.), Wellness Week</t>
  </si>
  <si>
    <t>Digital materials (e.g., email, newsletters, TV monitors, presentations, internal social networks or chat channels, etc.), Employee Resource Groups, Intranet, Printed materials (e.g., posters, flyers, table tents, etc.), Separate ad hoc communication campaign, Wellness Week, Other, please specify:</t>
  </si>
  <si>
    <t>Digital materials (e.g., email, newsletters, TV monitors, presentations, internal social networks or chat channels, etc.), Employee Resource Groups, Intranet, Printed materials (e.g., posters, flyers, table tents, etc.), Separate ad hoc communication campaign, Other, please specify:</t>
  </si>
  <si>
    <t>Digital materials (e.g., email, newsletters, TV monitors, presentations, internal social networks or chat channels, etc.), Employee Resource Groups</t>
  </si>
  <si>
    <t>Digital materials (e.g., email, newsletters, TV monitors, presentations, internal social networks or chat channels, etc.), Employee Resource Groups, Intranet, Printed materials (e.g., posters, flyers, table tents, etc.), Separate ad hoc communication campaign, Wellness Week</t>
  </si>
  <si>
    <t>Digital materials (e.g., email, newsletters, TV monitors, presentations, internal social networks or chat channels, etc.), Employee Resource Groups, Intranet, Printed materials (e.g., posters, flyers, table tents, etc.)</t>
  </si>
  <si>
    <t>Digital materials (e.g., email, newsletters, TV monitors, presentations, internal social networks or chat channels, etc.), Employee Resource Groups, Intranet, Separate ad hoc communication campaign, Wellness Week</t>
  </si>
  <si>
    <t>Digital materials (e.g., email, newsletters, TV monitors, presentations, internal social networks or chat channels, etc.), Printed materials (e.g., posters, flyers, table tents, etc.), Separate ad hoc communication campaign</t>
  </si>
  <si>
    <t>Digital materials (e.g., email, newsletters, TV monitors, presentations, internal social networks or chat channels, etc.), Employee Resource Groups, Intranet, Printed materials (e.g., posters, flyers, table tents, etc.), Separate ad hoc communication campaign</t>
  </si>
  <si>
    <t>Intranet, Other, please specify:</t>
  </si>
  <si>
    <t>Digital materials (e.g., email, newsletters, TV monitors, presentations, internal social networks or chat channels, etc.), Intranet, Separate ad hoc communication campaign</t>
  </si>
  <si>
    <t>Digital materials (e.g., email, newsletters, TV monitors, presentations, internal social networks or chat channels, etc.), Intranet, Printed materials (e.g., posters, flyers, table tents, etc.), Separate ad hoc communication campaign</t>
  </si>
  <si>
    <t>Digital materials (e.g., email, newsletters, TV monitors, presentations, internal social networks or chat channels, etc.), Employee Resource Groups, Intranet, Wellness Week</t>
  </si>
  <si>
    <t>Employee Assistance Program, Employee surveys, Focus group discussions, Health assessments, Market practice information, Medical claims, Occupational health data, Risk policy claims, Sickness/absenteeism</t>
  </si>
  <si>
    <t>Employee Assistance Program, Employee surveys</t>
  </si>
  <si>
    <t>Employee Assistance Program, Employee surveys, Market practice information, Medical claims, Risk policy claims</t>
  </si>
  <si>
    <t>Employee Assistance Program, Employee surveys, Focus group discussions, Health assessments, Medical claims, Occupational health data, Risk policy claims</t>
  </si>
  <si>
    <t>Employee Assistance Program, Employee surveys, Focus group discussions, Medical claims, Sickness/absenteeism</t>
  </si>
  <si>
    <t>Employee Assistance Program, Employee surveys, Focus group discussions, Health assessments, Market practice information, Medical claims, Occupational health data, Sickness/absenteeism</t>
  </si>
  <si>
    <t>Employee Assistance Program, Employee surveys, Market practice information</t>
  </si>
  <si>
    <t>Employee Assistance Program, Market practice information, Sickness/absenteeism</t>
  </si>
  <si>
    <t>Employee Assistance Program, Health assessments, Market practice information, Medical claims</t>
  </si>
  <si>
    <t>Employee Assistance Program, Employee surveys, Focus group discussions, Health assessments</t>
  </si>
  <si>
    <t>Employee Assistance Program, Market practice information</t>
  </si>
  <si>
    <t>Employee surveys, Market practice information</t>
  </si>
  <si>
    <t>Employee Assistance Program, Employee surveys, Market practice information, Medical claims</t>
  </si>
  <si>
    <t>Employee surveys, Focus group discussions, Sickness/absenteeism</t>
  </si>
  <si>
    <t>Employee Assistance Program, Employee surveys, Focus group discussions, Market practice information</t>
  </si>
  <si>
    <t>Employee Assistance Program, Employee surveys, Health assessments, Market practice information, Sickness/absenteeism</t>
  </si>
  <si>
    <t>Employee Assistance Program, Employee surveys, Focus group discussions</t>
  </si>
  <si>
    <t>Employee Assistance Program, Employee surveys, Focus group discussions, Medical claims</t>
  </si>
  <si>
    <t>Employee Assistance Program, Employee surveys, Focus group discussions, Market practice information, Medical claims</t>
  </si>
  <si>
    <t>Employee Assistance Program, Employee surveys, Market practice information, Medical claims, Occupational health data, Risk policy claims, Sickness/absenteeism</t>
  </si>
  <si>
    <t>Employee Assistance Program, Employee surveys, Focus group discussions, Sickness/absenteeism</t>
  </si>
  <si>
    <t>Employee Assistance Program, Employee surveys, Medical claims, Sickness/absenteeism</t>
  </si>
  <si>
    <t>Racial and ethnic diversity, Gender identification, Employees with disabilities</t>
  </si>
  <si>
    <t>Racial and ethnic diversity, Gender identification, Employees with disabilities, None of the above</t>
  </si>
  <si>
    <t>Racial and ethnic diversity, Gender identification, Employees with disabilities, Other, please specify:</t>
  </si>
  <si>
    <t>Wellbeing Ambassadors, Wellbeing Champions, Wellbeing councils or committees</t>
  </si>
  <si>
    <t>Employee Resource Groups, Executive sponsorships, Mental Health First Aiders, Wellbeing Ambassadors, Wellbeing Champions, Wellbeing councils or committees</t>
  </si>
  <si>
    <t>Employee Resource Groups, Executive sponsorships, Wellbeing Ambassadors, Wellbeing Champions</t>
  </si>
  <si>
    <t>Employee Resource Groups, Wellbeing Champions, Wellbeing councils or committees</t>
  </si>
  <si>
    <t>Employee Resource Groups, Wellbeing Ambassadors, Wellbeing councils or committees</t>
  </si>
  <si>
    <t>Employee Resource Groups, Mental Health First Aiders, Wellbeing Champions</t>
  </si>
  <si>
    <t>Wellbeing Ambassadors, Wellbeing Champions</t>
  </si>
  <si>
    <t>Employee Resource Groups, Executive sponsorships, Wellbeing Ambassadors, Wellbeing Champions, Wellbeing councils or committees</t>
  </si>
  <si>
    <t>Employee Resource Groups, Executive sponsorships, Wellbeing Champions</t>
  </si>
  <si>
    <t>Employee Resource Groups, Mental Health First Aiders, Wellbeing Ambassadors</t>
  </si>
  <si>
    <t>Employee Resource Groups, Mental Health First Aiders</t>
  </si>
  <si>
    <t>Executive sponsorships, Wellbeing councils or committees</t>
  </si>
  <si>
    <t>Employee Resource Groups, Executive sponsorships, Wellbeing Champions, Wellbeing councils or committees</t>
  </si>
  <si>
    <t>Paid time to support wellbeing, Training</t>
  </si>
  <si>
    <t>Career development, Training, Rewards and recognition</t>
  </si>
  <si>
    <t>Career development, Rewards and recognition</t>
  </si>
  <si>
    <t>Career development, Paid time to support wellbeing, Training, Rewards and recognition</t>
  </si>
  <si>
    <t>Career development, Training</t>
  </si>
  <si>
    <t>Digital coaching, Wellbeing portal/platform</t>
  </si>
  <si>
    <t>Digital coaching, Digital fitness app, Mindfulness app, Wellbeing portal/platform</t>
  </si>
  <si>
    <t>Mindfulness app, Wellbeing portal/platform</t>
  </si>
  <si>
    <t>Connected fitness devices, Digital coaching, Digital fitness app, Mindfulness app, Wellbeing portal/platform</t>
  </si>
  <si>
    <t>Digital coaching, Mindfulness app, Wellbeing portal/platform</t>
  </si>
  <si>
    <t>Digital fitness app, Mindfulness app, Wellbeing portal/platform</t>
  </si>
  <si>
    <t>Connected fitness devices, Digital fitness app, Mindfulness app, Wellbeing portal/platform</t>
  </si>
  <si>
    <t>Connected fitness devices, Digital fitness app, Mindfulness app</t>
  </si>
  <si>
    <t>Digital coaching, Mindfulness app</t>
  </si>
  <si>
    <t>Enrich, MeQuilibrium</t>
  </si>
  <si>
    <t>Headspace, LifeWorks, Vitality</t>
  </si>
  <si>
    <t>Headspace, LifeWorks</t>
  </si>
  <si>
    <t>Headspace, Limeade</t>
  </si>
  <si>
    <t>MeQuilibrium, Vitality</t>
  </si>
  <si>
    <t>Headspace, Other, please specify:</t>
  </si>
  <si>
    <t>LifeWorks, Other, please specify:</t>
  </si>
  <si>
    <t>TaskHuman, Other, please specify:</t>
  </si>
  <si>
    <t>Thrive Savings, Other, please specify:</t>
  </si>
  <si>
    <t>Spouse, Common-law partner, Children age 18 and older, Children under age 18, Parents</t>
  </si>
  <si>
    <t>Spouse, Common-law partner, Children under age 18</t>
  </si>
  <si>
    <t>Spouse, Common-law partner, Children age 18 and older, Children under age 18</t>
  </si>
  <si>
    <t>Spouse, Common-law partner, Children age 18 and older</t>
  </si>
  <si>
    <t>Spouse, Common-law partner, Children age 18 and older, Children under age 18, Parents, Other, please specify:</t>
  </si>
  <si>
    <t>Company-paid wellness days, Flexible work policies, Healthy workplace design and ergonomic support, Kitchen, Mother’s rooms, On-site or near site health screenings, On-site or near site vaccinations, Standing desks, Tobacco-free campus, Work from home</t>
  </si>
  <si>
    <t>Concierge services for work-life support, Healthy workplace design and ergonomic support, On-site massages, On-site or near site vaccinations, Return to work programs after leave of absence, Standing desks, Tobacco-free campus, Work from home</t>
  </si>
  <si>
    <t>Flexible work policies, No-meeting days, On-site massages, Standing desks, Work from home</t>
  </si>
  <si>
    <t>Flexible work policies, Healthy eating options for canteens and vending machines, Healthy workplace design and ergonomic support, Job accommodations, Mother’s rooms, Standing desks, Tobacco-free campus, Work from home</t>
  </si>
  <si>
    <t>Company-paid wellness days, Concierge services for work-life support, Flexible work policies, Standing desks, Tobacco-free campus, Work from home</t>
  </si>
  <si>
    <t>Concierge services for work-life support, Flexible work policies, Healthy workplace design and ergonomic support, Kitchen, No-meeting days, Return to work programs after leave of absence, Standing desks, Walking meetings and stretch breaks, Work from home</t>
  </si>
  <si>
    <t>Company-paid wellness days, Concierge services for work-life support, Flexible work policies, Healthy workplace design and ergonomic support, Job accommodations, Kitchen, Mother’s rooms, No-meeting days, On-site canteen, On-site fitness center/gym, On-site massages, Return to work programs after leave of absence, Standing desks, Work from home</t>
  </si>
  <si>
    <t>Flexible work policies, Work from home</t>
  </si>
  <si>
    <t>Company-paid wellness days, Job accommodations, Standing desks, Work from home</t>
  </si>
  <si>
    <t>Company-paid wellness days, Flexible work policies, On-site fitness center/gym, On-site or near site health screenings, On-site or near site vaccinations, Return to work programs after leave of absence, Walking meetings and stretch breaks, Work from home</t>
  </si>
  <si>
    <t>Flexible work policies, Job accommodations, Work from home</t>
  </si>
  <si>
    <t>Company-paid wellness days, Flexible work policies, Healthy workplace design and ergonomic support, Job accommodations, Mother’s rooms, Rest/Nap rooms, Work from home</t>
  </si>
  <si>
    <t>Company-paid wellness days, Concierge services for work-life support, Discounts on healthy eating options for canteens and vending machines, Flexible work policies, Healthy eating options for canteens and vending machines, Healthy workplace design and ergonomic support, Job accommodations, Kitchen, Mother’s rooms, No-meeting days, On-site or near site vaccinations, Rest/Nap rooms, Return to work programs after leave of absence, Standing desks, Walking meetings and stretch breaks, Work from home</t>
  </si>
  <si>
    <t>Flexible work policies, Healthy workplace design and ergonomic support</t>
  </si>
  <si>
    <t>Concierge services for work-life support, Flexible work policies, Healthy workplace design and ergonomic support, Job accommodations, Kitchen, Mother’s rooms, Return to work programs after leave of absence, Standing desks, Tobacco-free campus, Work from home</t>
  </si>
  <si>
    <t>Company-paid wellness days, Healthy workplace design and ergonomic support, Job accommodations, Standing desks, Walking meetings and stretch breaks, Work from home, Other</t>
  </si>
  <si>
    <t>Company-paid wellness days, Flexible work policies, Mother’s rooms, Return to work programs after leave of absence, Standing desks, Work from home</t>
  </si>
  <si>
    <t>Healthy workplace design and ergonomic support, Kitchen, No-meeting days, Return to work programs after leave of absence, Standing desks, Work from home</t>
  </si>
  <si>
    <t>Company-paid wellness days, Flexible work policies, Job accommodations, Kitchen, On-site or near site vaccinations, Return to work programs after leave of absence, Walking meetings and stretch breaks, Other</t>
  </si>
  <si>
    <t>Company-paid wellness days, Flexible work policies, Job accommodations, Mother’s rooms, Walking meetings and stretch breaks, Work from home</t>
  </si>
  <si>
    <t>Flexible work policies, Healthy workplace design and ergonomic support, Job accommodations, No-meeting days, Work from home</t>
  </si>
  <si>
    <t>Company-paid wellness days, Concierge services for work-life support, Discounts on healthy eating options for canteens and vending machines, Flexible work policies, Healthy eating options for canteens and vending machines, Healthy workplace design and ergonomic support, Kitchen, Mother’s rooms, No-meeting days, Rest/Nap rooms, Return to work programs after leave of absence, Standing desks, Tobacco-free campus, Walking meetings and stretch breaks, Work from home</t>
  </si>
  <si>
    <t>Convenience services (e.g., on-site hairdresser, shop, etc.), Community resources (e.g., garden, rooftops, recreational areas, etc.), Concierge services for work-life support, Flexible work policies, Healthy workplace design and ergonomic support, Job accommodations, Kitchen, On-site canteen, On-site fitness center/gym, Return to work programs after leave of absence, Standing desks, Work from home</t>
  </si>
  <si>
    <t>Community resources (e.g., garden, rooftops, recreational areas, etc.), Concierge services for work-life support, Flexible work policies, Healthy workplace design and ergonomic support, Job accommodations, Kitchen, Mother’s rooms, Return to work programs after leave of absence, Standing desks, Walking meetings and stretch breaks, Work from home</t>
  </si>
  <si>
    <t>Community resources (e.g., garden, rooftops, recreational areas, etc.), Company-paid wellness days, Concierge services for work-life support, Discounts on healthy eating options for canteens and vending machines, Flexible work policies, Healthy eating options for canteens and vending machines, Healthy workplace design and ergonomic support, Job accommodations, Kitchen, Mother’s rooms, No-meeting days, On-site canteen, On-site fitness center/gym, On-site massages, Rest/Nap rooms, Return to work programs after leave of absence, Standing desks, Walking meetings and stretch breaks, Work from home</t>
  </si>
  <si>
    <t>Community resources (e.g., garden, rooftops, recreational areas, etc.), Concierge services for work-life support, Healthy workplace design and ergonomic support, Job accommodations, Mother’s rooms, On-site canteen, On-site fitness center/gym, On-site massages, On-site or near site vaccinations, Standing desks, Work from home</t>
  </si>
  <si>
    <t>Convenience services (e.g., on-site hairdresser, shop, etc.), Company-paid wellness days, Discounts on healthy eating options for canteens and vending machines, Flexible work policies, Job accommodations, Mother’s rooms, On-site fitness center/gym, Return to work programs after leave of absence, Standing desks, Tobacco-free campus, Work from home</t>
  </si>
  <si>
    <t>Convenience services (e.g., on-site hairdresser, shop, etc.), Community resources (e.g., garden, rooftops, recreational areas, etc.), Company-paid wellness days, Concierge services for work-life support, Flexible work policies, Healthy workplace design and ergonomic support, Job accommodations, Mother’s rooms, On-site canteen, On-site fitness center/gym, On-site massages, On-site or near site vaccinations, Return to work programs after leave of absence, Standing desks, Walking meetings and stretch breaks, Work from home</t>
  </si>
  <si>
    <t>Community resources (e.g., garden, rooftops, recreational areas, etc.), Company-paid wellness days, Flexible work policies, Healthy eating options for canteens and vending machines, Healthy workplace design and ergonomic support, Kitchen, On-site canteen, Rest/Nap rooms, Standing desks, Tobacco-free campus, Work from home</t>
  </si>
  <si>
    <t>Convenience services (e.g., on-site hairdresser, shop, etc.), Community resources (e.g., garden, rooftops, recreational areas, etc.), Company-paid wellness days, Flexible work policies, Healthy eating options for canteens and vending machines, Healthy workplace design and ergonomic support, Job accommodations, Kitchen, Mother’s rooms, No-meeting days, On-site canteen, On-site fitness center/gym, On-site massages, On-site or near site health screenings, On-site or near site vaccinations, Standing desks, Tobacco-free campus, Walking meetings and stretch breaks, Work from home, Other</t>
  </si>
  <si>
    <t>Convenience services (e.g., on-site hairdresser, shop, etc.), Company-paid wellness days, Flexible work policies, Healthy eating options for canteens and vending machines, Healthy workplace design and ergonomic support, Mother’s rooms, On-site canteen, Standing desks, Tobacco-free campus, Work from home</t>
  </si>
  <si>
    <t>Community resources (e.g., garden, rooftops, recreational areas, etc.), Flexible work policies, Healthy eating options for canteens and vending machines, Healthy workplace design and ergonomic support, Job accommodations, Kitchen, Mother’s rooms, Rest/Nap rooms, Return to work programs after leave of absence, Standing desks, Work from home</t>
  </si>
  <si>
    <t>Biometric screenings, Chronic disease management and coaching, Fitness/wellness challenges, Lifestyle coaching, Mindfulness training, Nurse advice line, Nutrition coaching, Sleep education, Wellness training</t>
  </si>
  <si>
    <t>Fertility support, Mindfulness training, Sleep education</t>
  </si>
  <si>
    <t>Ergonomic assessments, Mindfulness training, Wellness reimbursement/stipend</t>
  </si>
  <si>
    <t>Ergonomic assessments, Flu shots and vaccinations, Lifestyle Spending Account (LSA)</t>
  </si>
  <si>
    <t>Alcohol and drug misuse program, Fitness/wellness challenges, Nurse advice line</t>
  </si>
  <si>
    <t>Breastfeeding support, Ergonomic assessments, Fertility support, Flu shots and vaccinations, Fitness/wellness challenges, Gender affirmation benefits, Gym memberships, Health screening, Massage reimbursement, Menopause support, Mindfulness training, Nutrition coaching, Sleep education, Smoking cessation program, Wellness reimbursement/stipend, Wellness training, Yoga</t>
  </si>
  <si>
    <t>Alcohol and drug misuse program, Breastfeeding support, Chronic disease management and coaching, Ergonomic assessments, Executive health program, Fertility support, Flu shots and vaccinations, Fitness/wellness challenges, Gender affirmation benefits, Gym memberships, Health advocacy, Lifestyle coaching, Massage reimbursement, Mindfulness training, Nurse advice line, Nutrition coaching, Sleep education, Weight loss program, Wellness training, Yoga</t>
  </si>
  <si>
    <t>Fitness/wellness challenges, Mindfulness training, Wellness training, Yoga</t>
  </si>
  <si>
    <t>Fertility support, Wellness reimbursement/stipend</t>
  </si>
  <si>
    <t>Ergonomic assessments, Flu shots and vaccinations, Fitness/wellness challenges, Wellness reimbursement/stipend, Yoga</t>
  </si>
  <si>
    <t>Biometric screenings, Executive health program, Fertility support, Flu shots and vaccinations, Fitness/wellness challenges, Mindfulness training, Smoking cessation program, Wellness training</t>
  </si>
  <si>
    <t>Flu shots and vaccinations, Fitness/wellness challenges, Massage reimbursement, Mindfulness training</t>
  </si>
  <si>
    <t>Ergonomic assessments, Flu shots and vaccinations, Fitness/wellness challenges, Gender affirmation benefits, Healthy lunch and snack program, Mindfulness training, Smoking cessation program, Wellness training</t>
  </si>
  <si>
    <t>Ergonomic assessments, Fertility support, Flu shots and vaccinations, Fitness/wellness challenges, Gym memberships, Massage reimbursement, Mindfulness training, Sleep education, Wellness reimbursement/stipend, Yoga</t>
  </si>
  <si>
    <t>Fitness/wellness challenges, Wellness reimbursement/stipend, Other</t>
  </si>
  <si>
    <t>Alcohol and drug misuse program, Fertility support, Flu shots and vaccinations, Fitness/wellness challenges, Gender affirmation benefits, Gym memberships, Lifestyle coaching, Massage reimbursement, Mindfulness training, Nurse advice line, Nutrition coaching, Smoking cessation program, Weight loss program, Wellness reimbursement/stipend, Wellness training, Yoga</t>
  </si>
  <si>
    <t>Wellness reimbursement/stipend, Yoga</t>
  </si>
  <si>
    <t>Ergonomic assessments, Fertility support</t>
  </si>
  <si>
    <t>Breastfeeding support, Ergonomic assessments, Fertility support, Fitness/wellness challenges</t>
  </si>
  <si>
    <t>Ergonomic assessments, Fertility support, Fitness/wellness challenges, Gender affirmation benefits, Lifestyle coaching, Massage reimbursement, Mindfulness training, Nutrition coaching, Wellness reimbursement/stipend</t>
  </si>
  <si>
    <t>Ergonomic assessments, Fitness/wellness challenges</t>
  </si>
  <si>
    <t>Ergonomic assessments, Fertility support, Mindfulness training, Nutrition coaching, Sleep education, Wellness training</t>
  </si>
  <si>
    <t>Ergonomic assessments, Fertility support, Flu shots and vaccinations, Gender affirmation benefits, Healthy lunch and snack program, Wellness reimbursement/stipend</t>
  </si>
  <si>
    <t>Ergonomic assessments, Fitness/wellness challenges, Gym memberships, Lifestyle Spending Account (LSA), Massage reimbursement, Sleep education, Wellness reimbursement/stipend</t>
  </si>
  <si>
    <t>Fitness/wellness challenges, Mindfulness training, Nurse advice line, Wellness reimbursement/stipend, Wellness training, Other</t>
  </si>
  <si>
    <t>Fertility support, Gender affirmation benefits, Health advocacy, Massage reimbursement, Nutrition coaching, Wellness reimbursement/stipend, Yoga</t>
  </si>
  <si>
    <t>Fertility support, Lifestyle Spending Account (LSA), Massage reimbursement, Wellness training</t>
  </si>
  <si>
    <t>Alcohol and drug misuse program, Breastfeeding support, Chronic disease management and coaching, Ergonomic assessments, Fertility support, Flu shots and vaccinations, Gender affirmation benefits, Gym memberships, Health advocacy, Health screening, Healthy lunch and snack program, Lifestyle coaching, Massage reimbursement, Menopause support, Mindfulness training, Nurse advice line, Nutrition coaching, Sleep education, Smoking cessation program, Weight loss program, Wellness reimbursement/stipend, Wellness training, Yoga</t>
  </si>
  <si>
    <t>Alcohol and drug misuse program, Biometric screenings, Ergonomic assessments, Executive health program, Fertility support, Flu shots and vaccinations, Fitness/wellness challenges, Greener/healthier commute options (e.g., walk to work, public transport etc.), Health screening, Massage reimbursement, Mindfulness training, Nurse advice line, Nutrition coaching, Sleep education, Smoking cessation program, Wellness reimbursement/stipend</t>
  </si>
  <si>
    <t>Alcohol and drug misuse program, At home screening kits, Fertility support, Flu shots and vaccinations, Fitness/wellness challenges, Greener/healthier commute options (e.g., walk to work, public transport etc.), Gym memberships, Health screening, Lifestyle coaching, Mindfulness training, Nutrition coaching, Sleep education, Smoking cessation program</t>
  </si>
  <si>
    <t>Breastfeeding support, Chronic disease management and coaching, Ergonomic assessments, Fitness/wellness challenges, Gender affirmation benefits, Greener/healthier commute options (e.g., walk to work, public transport etc.), Health advocacy, Lifestyle coaching, Mindfulness training, Nurse advice line, Nutrition coaching, Sleep education, Smoking cessation program, Weight loss program, Wellness reimbursement/stipend</t>
  </si>
  <si>
    <t>Alcohol and drug misuse program, Ergonomic assessments, Fitness/wellness challenges, Gender affirmation benefits, Greener/healthier commute options (e.g., walk to work, public transport etc.), Mindfulness training, Smoking cessation program, Weight loss program, Wellness reimbursement/stipend</t>
  </si>
  <si>
    <t>Balancing work and family, Critical incident support, Family violence, Financial or legal, Harassment, Job stress, Manager support, Parenting issues, Personal issues, Relationship issues, Resilience training, Sleep education, Separation and loss</t>
  </si>
  <si>
    <t>Balancing work and family, Behavior change program, Childcare referrals, Critical incident support, Eldercare referrals, Family violence, Financial or legal, Harassment, Job stress, Manager support, Parenting issues, Personal issues, Relationship issues, Resilience training, Sleep education, Substance abuse, Separation and loss</t>
  </si>
  <si>
    <t>Balancing work and family, Childcare referrals, Critical incident support, Eldercare referrals, Financial or legal, Job stress, Parenting issues, Relationship issues, Separation and loss</t>
  </si>
  <si>
    <t>Balancing work and family, Childcare referrals, Critical incident support, Financial or legal, Job stress, Personal issues, Relationship issues, Separation and loss</t>
  </si>
  <si>
    <t>Balancing work and family, Behavior change program, Critical incident support, Family violence, Financial or legal, Job stress, Manager support, Personal issues, Relationship issues</t>
  </si>
  <si>
    <t>Balancing work and family, Behavior change program, Childcare referrals, Critical incident support, Eldercare referrals, Family violence, Job stress, Parenting issues, Personal issues, Relationship issues, Substance abuse, Separation and loss</t>
  </si>
  <si>
    <t>Balancing work and family, Behavior change program, Childcare referrals, Critical incident support, Eldercare referrals, Family violence, Financial or legal, Harassment, Job stress, Manager support, Parenting issues, Personal issues, Relationship issues, Substance abuse, Separation and loss</t>
  </si>
  <si>
    <t>Balancing work and family, Behavior change program, Childcare referrals, Critical incident support, Eldercare referrals, Family violence, Financial or legal, Job stress, Manager support, Parenting issues, Personal issues, Relationship issues, Resilience training, Substance abuse, Separation and loss</t>
  </si>
  <si>
    <t>Balancing work and family, Behavior change program, Childcare referrals, Critical incident support, Eldercare referrals, Family violence, Financial or legal, Harassment, Job stress, Manager support, Parenting issues, Personal issues, Relationship issues, Resilience training, Sleep education, Separation and loss</t>
  </si>
  <si>
    <t>Balancing work and family, Financial or legal, Job stress, Parenting issues, Personal issues, Relationship issues, Separation and loss</t>
  </si>
  <si>
    <t>Balancing work and family, Childcare referrals, Critical incident support, Eldercare referrals, Financial or legal, Job stress, Manager support, Parenting issues, Personal issues, Relationship issues, Separation and loss</t>
  </si>
  <si>
    <t>Balancing work and family, Behavior change program, Childcare referrals, Critical incident support, Eldercare referrals, Family violence, Financial or legal, Harassment, Job stress, Manager support, Parenting issues, Personal issues, Relationship issues, Resilience training, Substance abuse, Separation and loss</t>
  </si>
  <si>
    <t>Balancing work and family, Behavior change program, Job stress, Personal issues, Relationship issues, Resilience training, Substance abuse, Separation and loss</t>
  </si>
  <si>
    <t>Balancing work and family, Behavior change program, Critical incident support, Job stress, Manager support, Parenting issues, Personal issues, Relationship issues, Resilience training, Sleep education, Substance abuse, Separation and loss</t>
  </si>
  <si>
    <t>Balancing work and family, Childcare referrals, Critical incident support, Eldercare referrals, Family violence, Financial or legal, Harassment, Job stress, Parenting issues, Personal issues, Relationship issues, Separation and loss</t>
  </si>
  <si>
    <t>Balancing work and family, Behavior change program, Childcare referrals, Critical incident support, Eldercare referrals, Family violence, Financial or legal, Harassment, Job stress, Parenting issues, Personal issues, Relationship issues, Substance abuse, Separation and loss</t>
  </si>
  <si>
    <t>Balancing work and family, Childcare referrals, Critical incident support, Family violence, Financial or legal, Job stress, Manager support, Parenting issues, Personal issues, Relationship issues, Resilience training, Sleep education, Separation and loss</t>
  </si>
  <si>
    <t>Balancing work and family, Financial or legal, Job stress, Manager support, Parenting issues, Personal issues, Relationship issues, Separation and loss</t>
  </si>
  <si>
    <t>Balancing work and family, Behavior change program, Childcare referrals, Harassment, Job stress, Parenting issues, Personal issues, Relationship issues, Resilience training, Sleep education, Separation and loss</t>
  </si>
  <si>
    <t>Balancing work and family, Critical incident support, Eldercare referrals, Family violence, Financial or legal, Harassment, Job stress, Manager support, Parenting issues, Personal issues, Relationship issues, Resilience training, Sleep education, Substance abuse, Separation and loss</t>
  </si>
  <si>
    <t>Balancing work and family, Behavior change program, Childcare referrals, Eldercare referrals, Family violence, Financial or legal, Job stress, Parenting issues, Personal issues, Relationship issues, Substance abuse, Separation and loss, Other, please specify:</t>
  </si>
  <si>
    <t>Balancing work and family, Behavior change program, Childcare referrals, Critical incident support, Eldercare referrals, Family violence, Financial or legal, Harassment, Job stress, Manager support, Parenting issues, Personal issues, Relationship issues, Resilience training, Sleep education, Substance abuse, Separation and loss, Other, please specify:</t>
  </si>
  <si>
    <t>Onsite EAP services, Phone</t>
  </si>
  <si>
    <t>In-person counseling visits, Virtual counseling visits</t>
  </si>
  <si>
    <t>Phone, Virtual counseling visits</t>
  </si>
  <si>
    <t>In-person counseling visits, Online dynamic resources (e.g., assessments, videos, webinars, exercises, etc.), Online static resources (e.g., articles, white papers, etc.), Phone, Text, Virtual counseling visits</t>
  </si>
  <si>
    <t>In-person counseling visits, Online dynamic resources (e.g., assessments, videos, webinars, exercises, etc.), Online static resources (e.g., articles, white papers, etc.), Phone, Other, please specify:</t>
  </si>
  <si>
    <t>In-person counseling visits, Online dynamic resources (e.g., assessments, videos, webinars, exercises, etc.), Online static resources (e.g., articles, white papers, etc.), Onsite EAP services, Phone</t>
  </si>
  <si>
    <t>Online dynamic resources (e.g., assessments, videos, webinars, exercises, etc.), Online static resources (e.g., articles, white papers, etc.), Phone, Virtual counseling visits</t>
  </si>
  <si>
    <t>In-person counseling visits, Online dynamic resources (e.g., assessments, videos, webinars, exercises, etc.), Phone, Virtual counseling visits</t>
  </si>
  <si>
    <t>In-person counseling visits, Online dynamic resources (e.g., assessments, videos, webinars, exercises, etc.), Online static resources (e.g., articles, white papers, etc.), Phone, Virtual counseling visits</t>
  </si>
  <si>
    <t>In-person counseling visits, Online dynamic resources (e.g., assessments, videos, webinars, exercises, etc.), Onsite EAP services, Phone, Virtual counseling visits</t>
  </si>
  <si>
    <t>Online dynamic resources (e.g., assessments, videos, webinars, exercises, etc.), Online static resources (e.g., articles, white papers, etc.), Virtual counseling visits</t>
  </si>
  <si>
    <t>In-person counseling visits, Online dynamic resources (e.g., assessments, videos, webinars, exercises, etc.), Online static resources (e.g., articles, white papers, etc.), Onsite EAP services, Phone, Text, Virtual counseling visits</t>
  </si>
  <si>
    <t>In-person counseling visits, Online dynamic resources (e.g., assessments, videos, webinars, exercises, etc.), Online static resources (e.g., articles, white papers, etc.), Onsite EAP services, Text</t>
  </si>
  <si>
    <t>In-person counseling visits, Online dynamic resources (e.g., assessments, videos, webinars, exercises, etc.), Online static resources (e.g., articles, white papers, etc.), Onsite EAP services, Phone, Virtual counseling visits</t>
  </si>
  <si>
    <t>Online dynamic resources (e.g., assessments, videos, webinars, exercises, etc.), Online static resources (e.g., articles, white papers, etc.), Phone</t>
  </si>
  <si>
    <t>In-person counseling visits, Online dynamic resources (e.g., assessments, videos, webinars, exercises, etc.), Online static resources (e.g., articles, white papers, etc.), Virtual counseling visits</t>
  </si>
  <si>
    <t>Online dynamic resources (e.g., assessments, videos, webinars, exercises, etc.), Online static resources (e.g., articles, white papers, etc.), Phone, Text, Virtual counseling visits</t>
  </si>
  <si>
    <t>Financial counseling, Financial health assessments, Legal/financial education and assistance, Personal financial advisor, Retirement planning tools and calculators, Retirement readiness assessments, Voluntary benefits</t>
  </si>
  <si>
    <t>Financial counseling, Financial health assessments, Retirement planning tools and calculators, Voluntary benefits</t>
  </si>
  <si>
    <t>Financial counseling, Promoting money management vs. saving</t>
  </si>
  <si>
    <t>Retirement planning tools and calculators, Retirement readiness assessments</t>
  </si>
  <si>
    <t>Financial counseling, Financial health assessments, Interactive investment or financial planning games, Legal/financial education and assistance, Promoting money management vs. saving, Retirement readiness assessments</t>
  </si>
  <si>
    <t>Financial counseling, Financial health assessments, Legal/financial education and assistance, Personal financial advisor, Promoting money management vs. saving, Retirement planning tools and calculators, Retirement readiness assessments</t>
  </si>
  <si>
    <t>Financial aid assistance, Financial counseling, Financial health assessments, Interactive investment or financial planning games, Legal/financial education and assistance, Personal financial advisor, Retirement planning tools and calculators, Retirement readiness assessments</t>
  </si>
  <si>
    <t>Retirement planning tools and calculators, Voluntary benefits</t>
  </si>
  <si>
    <t>Financial counseling, Financial health assessments, Interactive investment or financial planning games, Promoting money management vs. saving, Retirement planning tools and calculators, Retirement readiness assessments</t>
  </si>
  <si>
    <t>Financial counseling, Legal/financial education and assistance, Voluntary benefits</t>
  </si>
  <si>
    <t>Financial counseling, Legal/financial education and assistance, Personal financial advisor, Promoting money management vs. saving, Retirement planning tools and calculators</t>
  </si>
  <si>
    <t>Financial counseling, Retirement planning tools and calculators</t>
  </si>
  <si>
    <t>Financial counseling, Legal/financial education and assistance, Retirement planning tools and calculators, Voluntary benefits</t>
  </si>
  <si>
    <t>Financial counseling, Legal/financial education and assistance</t>
  </si>
  <si>
    <t>Financial counseling, Personal financial advisor, Retirement planning tools and calculators, Retirement readiness assessments, Voluntary benefits</t>
  </si>
  <si>
    <t>Legal/financial education and assistance, Personal financial advisor, Retirement planning tools and calculators</t>
  </si>
  <si>
    <t>Financial counseling, Financial health assessments, Legal/financial education and assistance, Personal financial advisor, Promoting money management vs. saving</t>
  </si>
  <si>
    <t>Financial counseling, Personal financial advisor, Retirement planning tools and calculators, Retirement readiness assessments</t>
  </si>
  <si>
    <t>Financial health assessments, Personal financial advisor, Retirement planning tools and calculators, Retirement readiness assessments</t>
  </si>
  <si>
    <t>Financial aid assistance, Financial counseling, Legal/financial education and assistance, Personal financial advisor, Promoting money management vs. saving, Retirement planning tools and calculators, Retirement readiness assessments, Voluntary benefits</t>
  </si>
  <si>
    <t>Financial counseling, Legal/financial education and assistance, Other, please specify:</t>
  </si>
  <si>
    <t>In person advisors or 1:1 sessions, Online tool, Webinars</t>
  </si>
  <si>
    <t>In person advisors or 1:1 sessions, Offsite, Online tool, Webinars</t>
  </si>
  <si>
    <t>Online tool, Webinars</t>
  </si>
  <si>
    <t>In person advisors or 1:1 sessions, Online tool</t>
  </si>
  <si>
    <t>In person advisors or 1:1 sessions, Webinars</t>
  </si>
  <si>
    <t>In person advisors or 1:1 sessions, Offsite, Online tool</t>
  </si>
  <si>
    <t>Gift cards, Raffle prizes</t>
  </si>
  <si>
    <t>Gift cards, Non-monetary gifts</t>
  </si>
  <si>
    <t>Raffle prizes, Other, please specify:</t>
  </si>
  <si>
    <t>Claims data, Employee feedback, Overall engagement, Participation rates</t>
  </si>
  <si>
    <t>Overall engagement, Participation rates</t>
  </si>
  <si>
    <t>Claims data, Employee feedback, Formal employee survey, Participation rates</t>
  </si>
  <si>
    <t>Overall engagement, Participation rates, Productivity impact</t>
  </si>
  <si>
    <t>Absenteeism reductions, Claims data, Employee feedback, Health/clinical outcomes, Overall engagement, Participation rates, Productivity impact, Retention metrics</t>
  </si>
  <si>
    <t>Claims data, Employee feedback, Formal employee survey, Overall engagement, Participation rates</t>
  </si>
  <si>
    <t>Employee feedback, Overall engagement, Participation rates</t>
  </si>
  <si>
    <t>Employee feedback, Participation rates</t>
  </si>
  <si>
    <t>Claims data, Employee feedback, Financial impact, Formal employee survey, Overall engagement, Participation rates</t>
  </si>
  <si>
    <t>Employee feedback, Health/clinical outcomes, Overall engagement, Participation rates, Retention metrics</t>
  </si>
  <si>
    <t>Claims data, Employee feedback</t>
  </si>
  <si>
    <t>Employee feedback, Formal employee survey, Overall engagement, Participation rates</t>
  </si>
  <si>
    <t>Absenteeism reductions, Claims data, Formal employee survey</t>
  </si>
  <si>
    <t>Absenteeism reductions, Claims data, Employee feedback, Formal employee survey, Overall engagement, Participation rates, Productivity impact</t>
  </si>
  <si>
    <t>Claims data, Employee feedback, Financial impact, Overall engagement, Participation rates, Productivity impact, Retention metrics</t>
  </si>
  <si>
    <t>Formal employee survey, Overall engagement, Participation rates, Productivity impact</t>
  </si>
  <si>
    <t>Claims data, Financial impact, Formal employee survey, Overall engagement, Participation rates</t>
  </si>
  <si>
    <t>Benefits, Finance</t>
  </si>
  <si>
    <t>Benefits, Finance, Procurement</t>
  </si>
  <si>
    <t>Parking benefits, Public transportation</t>
  </si>
  <si>
    <t>Company car, Other, please specify:</t>
  </si>
  <si>
    <t>Business need (e.g., sales position), Job level or grade</t>
  </si>
  <si>
    <t>Corporate HR, Financial controller</t>
  </si>
  <si>
    <t>Directors, Managers, Non-management, Top executives</t>
  </si>
  <si>
    <t>Mileage, Road toll costs</t>
  </si>
  <si>
    <t>Company cost of providing a vehicle (e.g., similar to monthly lease amount), Market competitiveness</t>
  </si>
  <si>
    <t>Commuter benefits, Service awards, Tuition assistance</t>
  </si>
  <si>
    <t>Backup childcare, Backup elder/dependent care, Childcare, Internet subsidy, Other perquisites and allowances</t>
  </si>
  <si>
    <t>Relocation assistance, Tuition assistance</t>
  </si>
  <si>
    <t>Home office benefits, Tuition assistance</t>
  </si>
  <si>
    <t>Home office benefits, Wireless device subsidy</t>
  </si>
  <si>
    <t>Home office benefits, Other offering to remote workers</t>
  </si>
  <si>
    <t>Home office benefits, Relocation assistance, Tuition assistance</t>
  </si>
  <si>
    <t>Service awards, Tuition assistance</t>
  </si>
  <si>
    <t>Backup childcare, Backup elder/dependent care, Relocation assistance, Tuition assistance, Wireless device subsidy, Other family friendly benefit</t>
  </si>
  <si>
    <t>Internet subsidy, Service awards, Tuition assistance, Other perquisites and allowances</t>
  </si>
  <si>
    <t>Home office benefits, Internet subsidy, Tuition assistance, Other perquisites and allowances</t>
  </si>
  <si>
    <t>Backup childcare, Backup elder/dependent care, Home office benefits, Internet subsidy, Service awards, Tuition assistance, Other family friendly benefit</t>
  </si>
  <si>
    <t>Home office benefits, Internet subsidy, Relocation assistance, Service awards, Tuition assistance, Other family friendly benefit, Other perquisites and allowances</t>
  </si>
  <si>
    <t>Internet subsidy, Tuition assistance</t>
  </si>
  <si>
    <t>Home office benefits, Internet subsidy, Relocation assistance, Tuition assistance</t>
  </si>
  <si>
    <t>Home office benefits, Internet subsidy, Wireless device subsidy</t>
  </si>
  <si>
    <t>Home office benefits, Relocation assistance, Service awards, Tuition assistance</t>
  </si>
  <si>
    <t>Backup childcare, Backup elder/dependent care, Other offering to remote workers</t>
  </si>
  <si>
    <t>Relocation assistance, Other perquisites and allowances</t>
  </si>
  <si>
    <t>Backup childcare, Backup elder/dependent care, Other family friendly benefit</t>
  </si>
  <si>
    <t>Home office benefits, Service awards, Other perquisites and allowances</t>
  </si>
  <si>
    <t>Home office benefits, Internet subsidy, Tuition assistance, Wireless device subsidy</t>
  </si>
  <si>
    <t>Relocation assistance, Service awards, Tuition assistance</t>
  </si>
  <si>
    <t>Commuter benefits, Home office benefits, Internet subsidy, Subsidized meals/lunch vouchers, Wireless device subsidy, Other perquisites and allowances</t>
  </si>
  <si>
    <t>Backup childcare, Backup elder/dependent care, Service awards, Tuition assistance, Other perquisites and allowances</t>
  </si>
  <si>
    <t>Relocation assistance, Service awards, Other offering to remote workers</t>
  </si>
  <si>
    <t>Tuition assistance, Other offering to remote workers</t>
  </si>
  <si>
    <t>Childcare, Commuter benefits, Relocation assistance, Service awards, Tuition assistance, Other perquisites and allowances</t>
  </si>
  <si>
    <t>Internet subsidy, Wireless device subsidy, Other family friendly benefit</t>
  </si>
  <si>
    <t>Home office benefits, Relocation assistance</t>
  </si>
  <si>
    <t>Backup childcare, Commuter benefits, Internet subsidy, Tuition assistance</t>
  </si>
  <si>
    <t>Relocation assistance, Tuition assistance, Other perquisites and allowances</t>
  </si>
  <si>
    <t>Tuition assistance, Other perquisites and allowances</t>
  </si>
  <si>
    <t>Internet subsidy, Relocation assistance, Tuition assistance</t>
  </si>
  <si>
    <t>Backup childcare, Home office benefits</t>
  </si>
  <si>
    <t>Backup childcare, Commuter benefits, Home office benefits, Internet subsidy, Tuition assistance, Wireless device subsidy</t>
  </si>
  <si>
    <t>Gifts for special events (e.g., birth, birthday, etc.), Home office benefits, Internet subsidy, Relocation assistance, Service awards, Tuition assistance</t>
  </si>
  <si>
    <t>Backup childcare, Backup elder/dependent care, Gifts for special events (e.g., birth, birthday, etc.), Home office benefits, Internet subsidy, Relocation assistance, Service awards, Tuition assistance</t>
  </si>
  <si>
    <t>Gifts for special events (e.g., birth, birthday, etc.), Home office benefits, Service awards, Tuition assistance</t>
  </si>
  <si>
    <t>Gifts for special events (e.g., birth, birthday, etc.), Internet subsidy, Relocation assistance, Service awards, Tuition assistance</t>
  </si>
  <si>
    <t>Backup childcare, Backup elder/dependent care, Childcare, Funeral ceremony expense assistance, Gifts for special events (e.g., birth, birthday, etc.), Home office benefits, Internet subsidy, Subsidized meals/lunch vouchers, Tuition assistance, Wireless device subsidy, Other family friendly benefit, Other offering to remote workers, Other perquisites and allowances</t>
  </si>
  <si>
    <t>Gifts for special events (e.g., birth, birthday, etc.), Home office benefits, Internet subsidy, Relocation assistance</t>
  </si>
  <si>
    <t>Backup childcare, Backup elder/dependent care, Gifts for special events (e.g., birth, birthday, etc.), Other family friendly benefit</t>
  </si>
  <si>
    <t>Must be related to job, Must get pre-approval, Other</t>
  </si>
  <si>
    <t>Must be related to job, Must get pre-approval</t>
  </si>
  <si>
    <t>5 years, 10 years, 15 years, 20 years, 25 years</t>
  </si>
  <si>
    <t>5 years, 10 years, 15 years, 20 years</t>
  </si>
  <si>
    <t>5 years, 10 years, 15 years, 20 years, 25 years, Other, please specify:</t>
  </si>
  <si>
    <t>5 years, 10 years, 20 years, Other, please specify:</t>
  </si>
  <si>
    <t>AD&amp;D, Dental insurance, Health Care Spending Accounts, Life insurance for employee, Life insurance for child, Life insurance for spouse/partner, Long-term disability</t>
  </si>
  <si>
    <t>AD&amp;D, Additional medical insurance, Dental insurance, Health Care Spending Accounts, Life insurance for employee, Life insurance for child, Life insurance for spouse/partner, Long-term disability, Travel insurance</t>
  </si>
  <si>
    <t>AD&amp;D, Additional medical insurance, Critical illness for employee, Critical illness for child, Critical illness for spouse/partner, Dental insurance, Health Care Spending Accounts, Life insurance for employee, Life insurance for child, Life insurance for spouse/partner, Long-term disability, Pet insurance, Travel insurance</t>
  </si>
  <si>
    <t>AD&amp;D, Additional medical insurance, Dental insurance, Health Care Spending Accounts, Life insurance for employee, Life insurance for child, Life insurance for spouse/partner, Long-term disability</t>
  </si>
  <si>
    <t>Discount products, Homeowner’s insurance, Identity theft protection, Pet insurance</t>
  </si>
  <si>
    <t>Dental insurance, Vision insurance</t>
  </si>
  <si>
    <t>Car insurance, Homeowner’s insurance, Pet insurance</t>
  </si>
  <si>
    <t>Car insurance, Discount products, Homeowner’s insurance</t>
  </si>
  <si>
    <t>Discount products, Other</t>
  </si>
  <si>
    <t>Car insurance, Discount products, Homeowner’s insurance, Legal services (e.g., will writing), Pet insurance</t>
  </si>
  <si>
    <t>Identity theft protection, Legal services (e.g., will writing), Pet insurance</t>
  </si>
  <si>
    <t>Discount products, Identity theft protection, Legal services (e.g., will writing), Travel insurance, Pet insurance</t>
  </si>
  <si>
    <t>Male, Female</t>
  </si>
  <si>
    <t>Male, Female, Nonbinary</t>
  </si>
  <si>
    <t>Male, Female, Did not disclose</t>
  </si>
  <si>
    <t>Male, Female, Nonbinary, Did not disclose</t>
  </si>
  <si>
    <t>Company has a $2000 annual allowance that can be used for wellness, childcare, etc. Effective 1/1/2022 we expanded this program to allow for holiday travel as well.</t>
  </si>
  <si>
    <t>Recharge days - Employees had the 2nd Friday of every month off to recharge</t>
  </si>
  <si>
    <t>dietician, clinical counselors, psychotherapists</t>
  </si>
  <si>
    <t xml:space="preserve">Our offerings will include energy &amp; resiliency sessions, wellbeing insights &amp; education, support for mental &amp; financial health, and more.  </t>
  </si>
  <si>
    <t>Minimum annual business mileage, Necessity of a car (e.g., sales role with frequent road travel requirements)</t>
  </si>
  <si>
    <t>$250 - 5 year, $500 - 10 year, $700 - 15 year, $1,000 - 20 year, $1j300 - 25 year, $1,600 - 30 year</t>
  </si>
  <si>
    <t>Company believes that fertility care is an essential part of every health plan and are pleased to offer a comprehensive fertility and parenting benefit through Carrot. All benefit-eligible employees and their spouse/domestic partner have access to the Carrot fertility benefit, regardless of sexual orientation or gender identity. Coverage operates on a reimbursement basis</t>
  </si>
  <si>
    <t>N=</t>
  </si>
  <si>
    <t>Awarded one of Canada's best employers for Diversity 2022 by Forbes, D&amp;I added to Company core values, introduction of Latino Employee Resource Group in Canada</t>
  </si>
  <si>
    <t>Company enhanced the Annual Leave program effective Jan 2022 to allow carryover of all vacation time (statutory and contractual) for 12 months.</t>
  </si>
  <si>
    <t>The Orange module offers basic health (including prescription drugs) and dental coverage that may meet the needs of employees and their dependents who do not have high health or dental claims or may have duplicate coverage under a spouse’s plan. There is no cost to the employee and the employee will receive a fixed amount in a Health Spending Account (HSA) that can be used towards additional eligible medical expenses. This will provide you with more flexibility in your coverage while still providing a basic level of protection.  The Blue module offers more comprehensive health and dental coverage than the Orange module. This may meet the needs of employees and their dependents who have a moderate level of health and/or dental claims. Employees who elect the Blue module may want protection from unexpected health and dental expenses but do not expect to have major ongoing medical or dental expenses. There is no cost to the employee and Company provides the employee with a reduced amount in a HSA account for additional flexibility.  The Purple module provides enhanced health and dental coverage for employees and their dependents with a modest monthly cost to employees. A number of the health and dental benefits in this module are covered at 100% and the coverage for paramedical, vision and orthodontics is greater than the Orange or Blue modules. Since employees pay a small portion of the premium, no HSA is provided.</t>
  </si>
  <si>
    <t>We have 3 different modules.  The Orange module offers basic health (including prescription drugs) and dental coverage that may meet the needs of employees and their dependents who do not have high health or dental claims or may have duplicate coverage under a spouse’s plan. There is no cost to you and you will receive a fixed amount in a Health Spending Account (HSA) that can be used towards additional eligible medical expenses that are more suited to your individual needs. This will provide you with more flexibility in your coverage while still providing a basic level of protection.  The Blue module offers more comprehensive health and dental coverage than the Orange module. This may meet the needs of employees and their dependents who have a moderate level of health and/or dental claims. Employees who elect the Blue module may want protection from unexpected health and dental expenses but do not expect to have major ongoing medical or dental expenses. There is no cost to you and Company will provide you with a reduced amount in a HSA account for additional flexibility.  The Purple module provides enhanced health and dental coverage for employees and their dependents with a modest monthly cost to employees. A number of the health and dental benefits in this module are covered at 100% and the coverage for paramedical, vision and orthodontics is greater than the Orange or Blue modules. Since employees pay a small portion of the premium, no HSA is provided</t>
  </si>
  <si>
    <t>EE's can purchase up to $3,000,000 in coverage (cap includes Company provided coverage)</t>
  </si>
  <si>
    <t>● Week 1: For the first seven (7) days away from work, you would use your accumulated Sick Time or Vacation time ● Weeks 2-4: Company will pay 100% of your base salary ● Weeks 5-17: Company will pay 66.67% of your base salary</t>
  </si>
  <si>
    <t>Employee chooses to contribute 1-5% into RSP; Company matches up to 5% to a DC account. If employee does not open an RSP both the company and employee contribution go to the DC account</t>
  </si>
  <si>
    <t>11-15</t>
  </si>
  <si>
    <t>6-10</t>
  </si>
  <si>
    <t>For every paycheque with RRSP contributions, Company matches $0.50 on each $1, up to 6% of eligible earnings. This amounts to a maximum per-pay match of 3% of eligible earnings. Depending on company performance, Company may contribute an additional match of either $0.25 or $0.50 on each $1 of  contributions, up to 6% of Eligible Earnings. These Company contributions are deposited into a Deferred Profit Plan, not into the RRSP account.</t>
  </si>
  <si>
    <t>Deferred Profit Sharing Plan: For every paycheque with RRSP contributions, Company matches $0.50 on each $1, up to 6% of eligible earnings. This amounts to a maximum per-pay match of 3% of eligible earnings. Depending on company performance, Company may contribute an additional match of either $0.25 or $0.50 on each $1 of  contributions, up to 6% of Eligible Earnings. These Company contributions are deposited into a Deferred Profit Plan, not into the RRSP account.</t>
  </si>
  <si>
    <t>We provide a deferred profit-sharing plan (DPSP). Employees do not contribute to this plan. Instead, Company's DPSP contribution will match employees RRSP contribution up to 4% of your annual earnings.</t>
  </si>
  <si>
    <t>Family Caregiver Leave: Up to 8 weeks of leave per calendar year to care for a family member with a serious health condition. Family Medical Leave: Up to 28 weeks of leave in a 52-week period to care for a family member for whom a qualified health care provider has certified that the individual has a serious health condition with a significant risk of death occurring within a period of 26 weeks. Critical Illness Care Leave: Up to 37 weeks of leave in a 52-week period to care for a minor child whom a qualified health care provider has certified is critically ill and in need of care; and/or, up to 17 weeks unpaid leave to provide care or support to an adult prescribed family member who is similarly certified critically ill. You must have at least 6 months of service with Company to be eligible for this leave.</t>
  </si>
  <si>
    <t>GuidanceResources</t>
  </si>
  <si>
    <t>Wellbeing Coaching, Cleo, Internal Resources</t>
  </si>
  <si>
    <t>All employees receive a Plaque based on their years of service and the option to choose a gift card, make a charitable donation or select a luxury watch</t>
  </si>
  <si>
    <t>plaque</t>
  </si>
  <si>
    <t>Life Coverage	3x Annual Basic Salary, rounded to the highest $1,000 ($1,500,000 max)	Death of employee  Accidental Death &amp; Dismemberment*	3x Annual Basic Salary, rounded to the highest $1,000	Death of employee due to an accident occurred while covered (in addition to Life coverage)  Survivor Income - Spouse benefit	50% of your monthly salary (capped at $12,500 per month) for up to 10 years	Death of employee  Survivor Income - Child benefit	$1,000 gross per month until they are aged 21, or 25 if in full-time education	Death of employee</t>
  </si>
  <si>
    <t>Company provides $20,000 for spouse/DP life and $10,000 for child life, per child</t>
  </si>
  <si>
    <t>Q5,41</t>
  </si>
  <si>
    <t>Basic, company-provided, Optional/Voluntary</t>
  </si>
  <si>
    <t>In addition to child care resources, we're proud to support our new parents with a variety of benefits and services:  Adoption Assistance - Company will reimburse up to CAD $13,000 per adoption for eligible adoption expenses, or per cycle/event for Fertility Assistance Benefits, up to a combined maximum lifetime limit of CAD $39,000. Baby Gift - The baby gift contains a Company-branded onesie, hat, and blanket, as well as a soft bunny rattle with matching stuffed animal and a teething toy. Through the Working Parent Coaching program, Company provides new parents support as they navigate career goals and changing work/family responsibilities.  Our Working Parent Coaching program provides access to two professional coaching engagements to support your goals as a working parent before and after you welcome a new child.</t>
  </si>
  <si>
    <t>Majority are managed in-house, however, we partner with Larkin to help manage our Pregnancy/Parental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</si>
</sst>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General&quot;%&quot;"/>
    <numFmt numFmtId="165" formatCode="&quot;$&quot;#,##0"/>
    <numFmt numFmtId="166" formatCode="&quot;$&quot;#,##0.00"/>
  </numFmts>
  <fonts count="10" x14ac:knownFonts="1">
    <font>
      <sz val="11"/>
      <color theme="1"/>
      <name val="Calibri"/>
      <family val="2"/>
      <scheme val="minor"/>
    </font>
    <font>
      <u/>
      <sz val="11"/>
      <color theme="10"/>
      <name val="Calibri"/>
      <family val="2"/>
      <scheme val="minor"/>
    </font>
    <font>
      <sz val="9"/>
      <color theme="1"/>
      <name val="Arial"/>
      <family val="2"/>
    </font>
    <font>
      <sz val="8"/>
      <color theme="1"/>
      <name val="Arial"/>
      <family val="2"/>
    </font>
    <font>
      <sz val="8"/>
      <name val="Arial"/>
      <family val="2"/>
    </font>
    <font>
      <sz val="10"/>
      <color theme="1"/>
      <name val="Arial"/>
      <family val="2"/>
    </font>
    <font>
      <b/>
      <u/>
      <sz val="10"/>
      <color theme="10"/>
      <name val="Arial"/>
      <family val="2"/>
    </font>
    <font>
      <b/>
      <sz val="10"/>
      <color theme="1"/>
      <name val="Arial"/>
      <family val="2"/>
    </font>
    <font>
      <b/>
      <u/>
      <sz val="11"/>
      <color theme="10"/>
      <name val="Calibri"/>
      <family val="2"/>
      <scheme val="minor"/>
    </font>
    <font>
      <b/>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right style="medium">
        <color auto="1"/>
      </right>
      <top style="medium">
        <color auto="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medium">
        <color auto="1"/>
      </top>
      <bottom/>
      <diagonal/>
    </border>
    <border>
      <left style="medium">
        <color auto="1"/>
      </left>
      <right style="thin">
        <color theme="0" tint="-0.24994659260841701"/>
      </right>
      <top style="thin">
        <color theme="0" tint="-0.24994659260841701"/>
      </top>
      <bottom/>
      <diagonal/>
    </border>
    <border>
      <left style="medium">
        <color auto="1"/>
      </left>
      <right/>
      <top/>
      <bottom/>
      <diagonal/>
    </border>
    <border>
      <left style="medium">
        <color auto="1"/>
      </left>
      <right/>
      <top style="medium">
        <color auto="1"/>
      </top>
      <bottom/>
      <diagonal/>
    </border>
    <border>
      <left style="medium">
        <color auto="1"/>
      </left>
      <right style="thin">
        <color theme="0" tint="-0.24994659260841701"/>
      </right>
      <top style="thin">
        <color theme="0" tint="-0.24994659260841701"/>
      </top>
      <bottom style="medium">
        <color auto="1"/>
      </bottom>
      <diagonal/>
    </border>
  </borders>
  <cellStyleXfs count="3">
    <xf numFmtId="0" fontId="0" fillId="0" borderId="0"/>
    <xf numFmtId="0" fontId="1" fillId="0" borderId="0" applyNumberFormat="0" applyFill="0" applyBorder="0" applyAlignment="0" applyProtection="0"/>
    <xf numFmtId="0" fontId="5" fillId="0" borderId="0"/>
  </cellStyleXfs>
  <cellXfs count="45">
    <xf numFmtId="0" fontId="0" fillId="0" borderId="0" xfId="0"/>
    <xf numFmtId="0" fontId="2" fillId="2" borderId="0" xfId="0" applyFont="1" applyFill="1" applyAlignment="1">
      <alignment vertical="center"/>
    </xf>
    <xf numFmtId="0" fontId="3" fillId="2" borderId="1" xfId="0" applyFont="1" applyFill="1" applyBorder="1" applyAlignment="1">
      <alignment vertical="center"/>
    </xf>
    <xf numFmtId="0" fontId="2" fillId="2" borderId="0" xfId="0" applyFont="1" applyFill="1" applyAlignment="1">
      <alignment vertical="center" wrapText="1"/>
    </xf>
    <xf numFmtId="0" fontId="3" fillId="2" borderId="2" xfId="0" applyFont="1" applyFill="1" applyBorder="1" applyAlignment="1">
      <alignment vertical="center" wrapText="1"/>
    </xf>
    <xf numFmtId="0" fontId="3" fillId="0" borderId="2" xfId="0" applyFont="1" applyFill="1" applyBorder="1" applyAlignment="1">
      <alignment vertical="center" wrapText="1"/>
    </xf>
    <xf numFmtId="0" fontId="5" fillId="0" borderId="0" xfId="0" applyFont="1" applyAlignment="1">
      <alignment horizontal="left"/>
    </xf>
    <xf numFmtId="0" fontId="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9" fontId="5" fillId="0" borderId="0" xfId="0" applyNumberFormat="1" applyFont="1" applyAlignment="1">
      <alignment horizontal="left" wrapText="1"/>
    </xf>
    <xf numFmtId="0" fontId="3" fillId="2" borderId="2" xfId="1" applyFont="1" applyFill="1" applyBorder="1" applyAlignment="1">
      <alignment vertical="center" wrapText="1"/>
    </xf>
    <xf numFmtId="0" fontId="6" fillId="0" borderId="0" xfId="1" applyFont="1" applyAlignment="1">
      <alignment horizontal="center"/>
    </xf>
    <xf numFmtId="164" fontId="5" fillId="0" borderId="0" xfId="0" applyNumberFormat="1" applyFont="1" applyAlignment="1">
      <alignment horizontal="left" wrapText="1"/>
    </xf>
    <xf numFmtId="165" fontId="5" fillId="0" borderId="0" xfId="0" applyNumberFormat="1" applyFont="1" applyAlignment="1">
      <alignment horizontal="left" wrapText="1"/>
    </xf>
    <xf numFmtId="166" fontId="5" fillId="0" borderId="0" xfId="0" applyNumberFormat="1" applyFont="1" applyAlignment="1">
      <alignment horizontal="left" wrapText="1"/>
    </xf>
    <xf numFmtId="6" fontId="5" fillId="0" borderId="0" xfId="0" applyNumberFormat="1" applyFont="1" applyAlignment="1">
      <alignment horizontal="left" wrapText="1"/>
    </xf>
    <xf numFmtId="0" fontId="7" fillId="3" borderId="0" xfId="0" applyFont="1" applyFill="1" applyAlignment="1">
      <alignment horizontal="left" wrapText="1"/>
    </xf>
    <xf numFmtId="0" fontId="7" fillId="0" borderId="0" xfId="0" applyFont="1" applyFill="1" applyAlignment="1">
      <alignment horizontal="left" wrapText="1"/>
    </xf>
    <xf numFmtId="0" fontId="5" fillId="0" borderId="0" xfId="2"/>
    <xf numFmtId="0" fontId="7" fillId="0" borderId="0" xfId="0" applyFont="1" applyAlignment="1">
      <alignment horizontal="right"/>
    </xf>
    <xf numFmtId="0" fontId="9" fillId="0" borderId="0" xfId="0" applyFont="1" applyAlignment="1">
      <alignment horizontal="right"/>
    </xf>
    <xf numFmtId="49" fontId="5" fillId="0" borderId="0" xfId="0" applyNumberFormat="1" applyFont="1" applyAlignment="1">
      <alignment horizontal="left" wrapText="1"/>
    </xf>
    <xf numFmtId="10" fontId="5" fillId="0" borderId="0" xfId="0" applyNumberFormat="1" applyFont="1" applyAlignment="1">
      <alignment horizontal="left" wrapText="1"/>
    </xf>
    <xf numFmtId="0" fontId="3" fillId="2" borderId="4"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2" fillId="2" borderId="9" xfId="0" applyFont="1" applyFill="1" applyBorder="1" applyAlignment="1">
      <alignment vertical="center"/>
    </xf>
    <xf numFmtId="0" fontId="2" fillId="2" borderId="6" xfId="0" applyFont="1" applyFill="1" applyBorder="1" applyAlignment="1">
      <alignment vertical="center" wrapText="1"/>
    </xf>
    <xf numFmtId="0" fontId="3" fillId="2" borderId="10" xfId="0" applyFont="1" applyFill="1" applyBorder="1" applyAlignment="1">
      <alignment vertical="center"/>
    </xf>
    <xf numFmtId="0" fontId="2" fillId="2" borderId="9" xfId="0" applyFont="1" applyFill="1" applyBorder="1" applyAlignment="1">
      <alignment vertical="center" wrapText="1"/>
    </xf>
    <xf numFmtId="0" fontId="3" fillId="0" borderId="4" xfId="0" applyFont="1" applyFill="1" applyBorder="1" applyAlignment="1">
      <alignment vertical="center"/>
    </xf>
    <xf numFmtId="0" fontId="4" fillId="2" borderId="4" xfId="0" applyFont="1" applyFill="1" applyBorder="1" applyAlignment="1">
      <alignment vertical="center"/>
    </xf>
    <xf numFmtId="0" fontId="2" fillId="2" borderId="11" xfId="0" applyFont="1" applyFill="1" applyBorder="1" applyAlignment="1">
      <alignment vertical="center"/>
    </xf>
    <xf numFmtId="0" fontId="4" fillId="2" borderId="10" xfId="0" applyFont="1" applyFill="1" applyBorder="1" applyAlignment="1">
      <alignment vertical="center"/>
    </xf>
    <xf numFmtId="0" fontId="2" fillId="2" borderId="12" xfId="0" applyFont="1" applyFill="1" applyBorder="1" applyAlignment="1">
      <alignment vertical="center"/>
    </xf>
    <xf numFmtId="0" fontId="4" fillId="2" borderId="2" xfId="0" applyFont="1" applyFill="1" applyBorder="1" applyAlignment="1">
      <alignment vertical="center" wrapText="1"/>
    </xf>
    <xf numFmtId="0" fontId="4" fillId="2" borderId="8" xfId="0" applyFont="1" applyFill="1" applyBorder="1" applyAlignment="1">
      <alignment vertical="center" wrapText="1"/>
    </xf>
    <xf numFmtId="0" fontId="3" fillId="2" borderId="2" xfId="0" applyFont="1" applyFill="1" applyBorder="1" applyAlignment="1">
      <alignment vertical="center"/>
    </xf>
    <xf numFmtId="0" fontId="3" fillId="2" borderId="13" xfId="0" applyFont="1" applyFill="1" applyBorder="1" applyAlignment="1">
      <alignment vertical="center" wrapText="1"/>
    </xf>
    <xf numFmtId="0" fontId="8" fillId="4" borderId="4"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1"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cellXfs>
  <cellStyles count="3">
    <cellStyle name="Hyperlink" xfId="1" builtinId="8"/>
    <cellStyle name="Normal" xfId="0" builtinId="0"/>
    <cellStyle name="Normal 2" xfId="2" xr:uid="{8C5AD77A-4AFD-43F3-AF3A-F78FD7470A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447675</xdr:colOff>
      <xdr:row>15</xdr:row>
      <xdr:rowOff>66675</xdr:rowOff>
    </xdr:to>
    <xdr:sp macro="" textlink="">
      <xdr:nvSpPr>
        <xdr:cNvPr id="2" name="TextBox 1">
          <a:extLst>
            <a:ext uri="{FF2B5EF4-FFF2-40B4-BE49-F238E27FC236}">
              <a16:creationId xmlns:a16="http://schemas.microsoft.com/office/drawing/2014/main" id="{B9DE3359-958A-4441-A3CA-BC52758EE59B}"/>
            </a:ext>
          </a:extLst>
        </xdr:cNvPr>
        <xdr:cNvSpPr txBox="1"/>
      </xdr:nvSpPr>
      <xdr:spPr>
        <a:xfrm>
          <a:off x="0" y="0"/>
          <a:ext cx="13249275" cy="24955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Column Headings:</a:t>
          </a: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For each section, headings are highlighted in green or white in order to differentiate between different sets of related questions.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mn-lt"/>
              <a:ea typeface="+mn-ea"/>
              <a:cs typeface="+mn-cs"/>
            </a:rPr>
            <a:t>For example, on the "Demographics" tab, the "Province with the largest benefits-eligible headcount" columns are highlighted in green, while the average age column is white.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"N" Counts: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The final row of each tab includes the "N" counts that indicate the number of companies that responded to each question.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Instructions for Using Index:</a:t>
          </a: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1.) Select the "Index" tab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2.) Use the Find function (e.g., CTRL + F) to locate the information you are seeking by using key words (e.g., "vacation").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rPr>
            <a:t>3.) After finding the question you wish to view, click on the question number or description to be taken directly to that question's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6844-E09D-4CD2-8FA8-49EAD7C2ECA9}">
  <sheetPr>
    <tabColor theme="9" tint="-0.249977111117893"/>
  </sheetPr>
  <dimension ref="A1"/>
  <sheetViews>
    <sheetView tabSelected="1" workbookViewId="0"/>
  </sheetViews>
  <sheetFormatPr defaultRowHeight="12.75" x14ac:dyDescent="0.2"/>
  <cols>
    <col min="1" max="16384" width="9.140625" style="19"/>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4.7109375" style="6" customWidth="1"/>
    <col min="2" max="7" width="30.7109375" style="7" customWidth="1"/>
    <col min="8" max="8" width="50.7109375" style="7" customWidth="1"/>
    <col min="9" max="9" width="30.7109375" style="7" customWidth="1"/>
    <col min="10" max="10" width="40.7109375" style="7" customWidth="1"/>
    <col min="11" max="30" width="30.7109375" style="7" customWidth="1"/>
    <col min="31" max="31" width="75.7109375" style="7" customWidth="1"/>
    <col min="32" max="32" width="30.7109375" style="7" customWidth="1"/>
    <col min="33" max="33" width="60.7109375" style="7" customWidth="1"/>
    <col min="34" max="42" width="30.7109375" style="7" customWidth="1"/>
    <col min="43" max="43" width="50.7109375" style="7" customWidth="1"/>
    <col min="44" max="44" width="30.7109375" style="7" customWidth="1"/>
    <col min="45" max="45" width="40.7109375" style="7" customWidth="1"/>
    <col min="46" max="50" width="30.7109375" style="7" customWidth="1"/>
    <col min="51" max="51" width="60.7109375" style="7" customWidth="1"/>
    <col min="52" max="52" width="40.7109375" style="7" customWidth="1"/>
    <col min="53" max="76" width="30.7109375" style="7" customWidth="1"/>
    <col min="77" max="16384" width="15.7109375" style="6"/>
  </cols>
  <sheetData>
    <row r="1" spans="1:76" s="9" customFormat="1" x14ac:dyDescent="0.2">
      <c r="A1" s="12" t="s">
        <v>1984</v>
      </c>
      <c r="B1" s="8" t="s">
        <v>1481</v>
      </c>
      <c r="C1" s="8" t="s">
        <v>1482</v>
      </c>
      <c r="D1" s="8" t="s">
        <v>1483</v>
      </c>
      <c r="E1" s="8" t="s">
        <v>1484</v>
      </c>
      <c r="F1" s="8" t="s">
        <v>1485</v>
      </c>
      <c r="G1" s="8" t="s">
        <v>1486</v>
      </c>
      <c r="H1" s="8" t="s">
        <v>1487</v>
      </c>
      <c r="I1" s="8" t="s">
        <v>1488</v>
      </c>
      <c r="J1" s="8" t="s">
        <v>1489</v>
      </c>
      <c r="K1" s="8" t="s">
        <v>1490</v>
      </c>
      <c r="L1" s="8" t="s">
        <v>1491</v>
      </c>
      <c r="M1" s="8" t="s">
        <v>1492</v>
      </c>
      <c r="N1" s="8" t="s">
        <v>1493</v>
      </c>
      <c r="O1" s="8" t="s">
        <v>1494</v>
      </c>
      <c r="P1" s="8" t="s">
        <v>1495</v>
      </c>
      <c r="Q1" s="8" t="s">
        <v>1496</v>
      </c>
      <c r="R1" s="8" t="s">
        <v>1497</v>
      </c>
      <c r="S1" s="8" t="s">
        <v>1498</v>
      </c>
      <c r="T1" s="8" t="s">
        <v>1499</v>
      </c>
      <c r="U1" s="8" t="s">
        <v>1500</v>
      </c>
      <c r="V1" s="8" t="s">
        <v>1501</v>
      </c>
      <c r="W1" s="8" t="s">
        <v>1502</v>
      </c>
      <c r="X1" s="8" t="s">
        <v>1503</v>
      </c>
      <c r="Y1" s="8" t="s">
        <v>1504</v>
      </c>
      <c r="Z1" s="8" t="s">
        <v>1505</v>
      </c>
      <c r="AA1" s="8" t="s">
        <v>1506</v>
      </c>
      <c r="AB1" s="8" t="s">
        <v>1507</v>
      </c>
      <c r="AC1" s="8" t="s">
        <v>1508</v>
      </c>
      <c r="AD1" s="8" t="s">
        <v>1509</v>
      </c>
      <c r="AE1" s="8" t="s">
        <v>1510</v>
      </c>
      <c r="AF1" s="8" t="s">
        <v>1511</v>
      </c>
      <c r="AG1" s="8" t="s">
        <v>1512</v>
      </c>
      <c r="AH1" s="8" t="s">
        <v>1513</v>
      </c>
      <c r="AI1" s="8" t="s">
        <v>1514</v>
      </c>
      <c r="AJ1" s="8" t="s">
        <v>1515</v>
      </c>
      <c r="AK1" s="8" t="s">
        <v>1516</v>
      </c>
      <c r="AL1" s="8" t="s">
        <v>1517</v>
      </c>
      <c r="AM1" s="8" t="s">
        <v>1518</v>
      </c>
      <c r="AN1" s="8" t="s">
        <v>1519</v>
      </c>
      <c r="AO1" s="8" t="s">
        <v>1520</v>
      </c>
      <c r="AP1" s="8" t="s">
        <v>1521</v>
      </c>
      <c r="AQ1" s="8" t="s">
        <v>1522</v>
      </c>
      <c r="AR1" s="8" t="s">
        <v>1523</v>
      </c>
      <c r="AS1" s="8" t="s">
        <v>1524</v>
      </c>
      <c r="AT1" s="8" t="s">
        <v>1525</v>
      </c>
      <c r="AU1" s="8" t="s">
        <v>1526</v>
      </c>
      <c r="AV1" s="8" t="s">
        <v>1527</v>
      </c>
      <c r="AW1" s="8" t="s">
        <v>1528</v>
      </c>
      <c r="AX1" s="8" t="s">
        <v>1529</v>
      </c>
      <c r="AY1" s="8" t="s">
        <v>1530</v>
      </c>
      <c r="AZ1" s="8" t="s">
        <v>1531</v>
      </c>
      <c r="BA1" s="8" t="s">
        <v>1532</v>
      </c>
      <c r="BB1" s="8" t="s">
        <v>1533</v>
      </c>
      <c r="BC1" s="8" t="s">
        <v>1534</v>
      </c>
      <c r="BD1" s="8" t="s">
        <v>1535</v>
      </c>
      <c r="BE1" s="8" t="s">
        <v>1536</v>
      </c>
      <c r="BF1" s="8" t="s">
        <v>1537</v>
      </c>
      <c r="BG1" s="8" t="s">
        <v>1538</v>
      </c>
      <c r="BH1" s="8" t="s">
        <v>1539</v>
      </c>
      <c r="BI1" s="8" t="s">
        <v>1540</v>
      </c>
      <c r="BJ1" s="8" t="s">
        <v>1541</v>
      </c>
      <c r="BK1" s="8" t="s">
        <v>1542</v>
      </c>
      <c r="BL1" s="8" t="s">
        <v>1543</v>
      </c>
      <c r="BM1" s="8" t="s">
        <v>1544</v>
      </c>
      <c r="BN1" s="8" t="s">
        <v>1545</v>
      </c>
      <c r="BO1" s="8" t="s">
        <v>1546</v>
      </c>
      <c r="BP1" s="8" t="s">
        <v>1547</v>
      </c>
      <c r="BQ1" s="8" t="s">
        <v>1548</v>
      </c>
      <c r="BR1" s="8" t="s">
        <v>1549</v>
      </c>
      <c r="BS1" s="8" t="s">
        <v>1550</v>
      </c>
      <c r="BT1" s="8" t="s">
        <v>1551</v>
      </c>
      <c r="BU1" s="8" t="s">
        <v>1552</v>
      </c>
      <c r="BV1" s="8" t="s">
        <v>1553</v>
      </c>
      <c r="BW1" s="8" t="s">
        <v>1554</v>
      </c>
      <c r="BX1" s="8" t="s">
        <v>1555</v>
      </c>
    </row>
    <row r="2" spans="1:76" s="9" customFormat="1" ht="63.75" x14ac:dyDescent="0.2">
      <c r="A2" s="9" t="s">
        <v>2713</v>
      </c>
      <c r="B2" s="17" t="s">
        <v>2492</v>
      </c>
      <c r="C2" s="17" t="s">
        <v>2493</v>
      </c>
      <c r="D2" s="17" t="s">
        <v>2494</v>
      </c>
      <c r="E2" s="17" t="s">
        <v>2495</v>
      </c>
      <c r="F2" s="8" t="s">
        <v>2496</v>
      </c>
      <c r="G2" s="8" t="s">
        <v>2497</v>
      </c>
      <c r="H2" s="8" t="s">
        <v>2498</v>
      </c>
      <c r="I2" s="8" t="s">
        <v>2499</v>
      </c>
      <c r="J2" s="17" t="s">
        <v>2500</v>
      </c>
      <c r="K2" s="17" t="s">
        <v>2501</v>
      </c>
      <c r="L2" s="17" t="s">
        <v>2502</v>
      </c>
      <c r="M2" s="17" t="s">
        <v>2503</v>
      </c>
      <c r="N2" s="8" t="s">
        <v>2504</v>
      </c>
      <c r="O2" s="8" t="s">
        <v>2505</v>
      </c>
      <c r="P2" s="8" t="s">
        <v>2506</v>
      </c>
      <c r="Q2" s="8" t="s">
        <v>2507</v>
      </c>
      <c r="R2" s="8" t="s">
        <v>2508</v>
      </c>
      <c r="S2" s="8" t="s">
        <v>2509</v>
      </c>
      <c r="T2" s="8" t="s">
        <v>2510</v>
      </c>
      <c r="U2" s="17" t="s">
        <v>2511</v>
      </c>
      <c r="V2" s="17" t="s">
        <v>2512</v>
      </c>
      <c r="W2" s="17" t="s">
        <v>2513</v>
      </c>
      <c r="X2" s="8" t="s">
        <v>2514</v>
      </c>
      <c r="Y2" s="8" t="s">
        <v>2515</v>
      </c>
      <c r="Z2" s="8" t="s">
        <v>2516</v>
      </c>
      <c r="AA2" s="8" t="s">
        <v>2517</v>
      </c>
      <c r="AB2" s="17" t="s">
        <v>2518</v>
      </c>
      <c r="AC2" s="17" t="s">
        <v>2519</v>
      </c>
      <c r="AD2" s="17" t="s">
        <v>2520</v>
      </c>
      <c r="AE2" s="8" t="s">
        <v>2521</v>
      </c>
      <c r="AF2" s="8" t="s">
        <v>2522</v>
      </c>
      <c r="AG2" s="17" t="s">
        <v>2523</v>
      </c>
      <c r="AH2" s="17" t="s">
        <v>2524</v>
      </c>
      <c r="AI2" s="8" t="s">
        <v>2525</v>
      </c>
      <c r="AJ2" s="17" t="s">
        <v>2526</v>
      </c>
      <c r="AK2" s="8" t="s">
        <v>2527</v>
      </c>
      <c r="AL2" s="8" t="s">
        <v>2528</v>
      </c>
      <c r="AM2" s="17" t="s">
        <v>2529</v>
      </c>
      <c r="AN2" s="17" t="s">
        <v>2530</v>
      </c>
      <c r="AO2" s="17" t="s">
        <v>2531</v>
      </c>
      <c r="AP2" s="17" t="s">
        <v>2532</v>
      </c>
      <c r="AQ2" s="17" t="s">
        <v>2533</v>
      </c>
      <c r="AR2" s="17" t="s">
        <v>2534</v>
      </c>
      <c r="AS2" s="17" t="s">
        <v>2535</v>
      </c>
      <c r="AT2" s="17" t="s">
        <v>2536</v>
      </c>
      <c r="AU2" s="17" t="s">
        <v>2537</v>
      </c>
      <c r="AV2" s="17" t="s">
        <v>2538</v>
      </c>
      <c r="AW2" s="17" t="s">
        <v>2539</v>
      </c>
      <c r="AX2" s="17" t="s">
        <v>2540</v>
      </c>
      <c r="AY2" s="8" t="s">
        <v>2541</v>
      </c>
      <c r="AZ2" s="17" t="s">
        <v>2542</v>
      </c>
      <c r="BA2" s="17" t="s">
        <v>2543</v>
      </c>
      <c r="BB2" s="17" t="s">
        <v>2544</v>
      </c>
      <c r="BC2" s="17" t="s">
        <v>2545</v>
      </c>
      <c r="BD2" s="17" t="s">
        <v>2546</v>
      </c>
      <c r="BE2" s="8" t="s">
        <v>2547</v>
      </c>
      <c r="BF2" s="8" t="s">
        <v>2548</v>
      </c>
      <c r="BG2" s="8" t="s">
        <v>2549</v>
      </c>
      <c r="BH2" s="8" t="s">
        <v>2550</v>
      </c>
      <c r="BI2" s="8" t="s">
        <v>2551</v>
      </c>
      <c r="BJ2" s="8" t="s">
        <v>2552</v>
      </c>
      <c r="BK2" s="17" t="s">
        <v>2553</v>
      </c>
      <c r="BL2" s="17" t="s">
        <v>2554</v>
      </c>
      <c r="BM2" s="8" t="s">
        <v>2555</v>
      </c>
      <c r="BN2" s="8" t="s">
        <v>2556</v>
      </c>
      <c r="BO2" s="8" t="s">
        <v>2557</v>
      </c>
      <c r="BP2" s="8" t="s">
        <v>2558</v>
      </c>
      <c r="BQ2" s="8" t="s">
        <v>2559</v>
      </c>
      <c r="BR2" s="8" t="s">
        <v>2560</v>
      </c>
      <c r="BS2" s="8" t="s">
        <v>2561</v>
      </c>
      <c r="BT2" s="8" t="s">
        <v>2562</v>
      </c>
      <c r="BU2" s="8" t="s">
        <v>2563</v>
      </c>
      <c r="BV2" s="8" t="s">
        <v>2564</v>
      </c>
      <c r="BW2" s="8" t="s">
        <v>2565</v>
      </c>
      <c r="BX2" s="8" t="s">
        <v>2566</v>
      </c>
    </row>
    <row r="3" spans="1:76" ht="76.5" x14ac:dyDescent="0.2">
      <c r="A3" s="6" t="s">
        <v>69</v>
      </c>
      <c r="B3" s="7" t="s">
        <v>251</v>
      </c>
      <c r="C3" s="7" t="s">
        <v>251</v>
      </c>
      <c r="E3" s="7" t="s">
        <v>1556</v>
      </c>
      <c r="F3" s="7" t="s">
        <v>3029</v>
      </c>
      <c r="H3" s="7" t="s">
        <v>3057</v>
      </c>
      <c r="J3" s="7" t="s">
        <v>3081</v>
      </c>
      <c r="L3" s="7" t="s">
        <v>3082</v>
      </c>
      <c r="N3" s="7" t="s">
        <v>251</v>
      </c>
      <c r="O3" s="7" t="s">
        <v>3096</v>
      </c>
      <c r="S3" s="7" t="s">
        <v>1557</v>
      </c>
      <c r="U3" s="7" t="s">
        <v>334</v>
      </c>
      <c r="X3" s="7" t="s">
        <v>1635</v>
      </c>
      <c r="Z3" s="7" t="s">
        <v>130</v>
      </c>
      <c r="AA3" s="7" t="s">
        <v>1689</v>
      </c>
      <c r="AB3" s="7" t="s">
        <v>404</v>
      </c>
      <c r="AE3" s="7" t="s">
        <v>3146</v>
      </c>
      <c r="AG3" s="7" t="s">
        <v>3184</v>
      </c>
      <c r="AI3" s="14"/>
      <c r="AJ3" s="14">
        <v>1300</v>
      </c>
      <c r="AL3" s="14"/>
      <c r="AM3" s="7" t="s">
        <v>251</v>
      </c>
      <c r="AN3" s="7" t="s">
        <v>1558</v>
      </c>
      <c r="AO3" s="7">
        <v>10</v>
      </c>
      <c r="AQ3" s="7" t="s">
        <v>3209</v>
      </c>
      <c r="AS3" s="7" t="s">
        <v>3223</v>
      </c>
      <c r="AU3" s="7" t="s">
        <v>130</v>
      </c>
      <c r="AV3" s="7" t="s">
        <v>1690</v>
      </c>
      <c r="AW3" s="7" t="s">
        <v>251</v>
      </c>
      <c r="AX3" s="7" t="s">
        <v>334</v>
      </c>
      <c r="AZ3" s="7" t="s">
        <v>3247</v>
      </c>
      <c r="BB3" s="7" t="s">
        <v>3252</v>
      </c>
      <c r="BE3" s="7" t="s">
        <v>334</v>
      </c>
      <c r="BI3" s="7" t="s">
        <v>1358</v>
      </c>
      <c r="BK3" s="7" t="s">
        <v>3275</v>
      </c>
      <c r="BX3" s="7" t="s">
        <v>1562</v>
      </c>
    </row>
    <row r="4" spans="1:76" x14ac:dyDescent="0.2">
      <c r="A4" s="6" t="s">
        <v>45</v>
      </c>
      <c r="B4" s="7" t="s">
        <v>334</v>
      </c>
      <c r="AI4" s="14"/>
      <c r="AJ4" s="14"/>
      <c r="AL4" s="14"/>
      <c r="BH4" s="14"/>
    </row>
    <row r="5" spans="1:76" ht="63.75" x14ac:dyDescent="0.2">
      <c r="A5" s="6" t="s">
        <v>18</v>
      </c>
      <c r="B5" s="7" t="s">
        <v>251</v>
      </c>
      <c r="C5" s="7" t="s">
        <v>334</v>
      </c>
      <c r="E5" s="7" t="s">
        <v>1578</v>
      </c>
      <c r="F5" s="7" t="s">
        <v>1579</v>
      </c>
      <c r="H5" s="7" t="s">
        <v>3045</v>
      </c>
      <c r="J5" s="7" t="s">
        <v>1580</v>
      </c>
      <c r="L5" s="7" t="s">
        <v>1581</v>
      </c>
      <c r="N5" s="7" t="s">
        <v>334</v>
      </c>
      <c r="S5" s="7" t="s">
        <v>1557</v>
      </c>
      <c r="U5" s="7" t="s">
        <v>334</v>
      </c>
      <c r="X5" s="7" t="s">
        <v>1582</v>
      </c>
      <c r="Z5" s="7" t="s">
        <v>1583</v>
      </c>
      <c r="AB5" s="7" t="s">
        <v>404</v>
      </c>
      <c r="AE5" s="7" t="s">
        <v>356</v>
      </c>
      <c r="AG5" s="7" t="s">
        <v>3159</v>
      </c>
      <c r="AI5" s="14"/>
      <c r="AJ5" s="14"/>
      <c r="AL5" s="14"/>
      <c r="AM5" s="7" t="s">
        <v>251</v>
      </c>
      <c r="AN5" s="7" t="s">
        <v>1558</v>
      </c>
      <c r="AO5" s="7">
        <v>6</v>
      </c>
      <c r="AQ5" s="7" t="s">
        <v>3192</v>
      </c>
      <c r="AS5" s="7" t="s">
        <v>3215</v>
      </c>
      <c r="AU5" s="7" t="s">
        <v>1584</v>
      </c>
      <c r="AW5" s="7" t="s">
        <v>251</v>
      </c>
      <c r="AX5" s="7" t="s">
        <v>251</v>
      </c>
      <c r="AY5" s="7" t="s">
        <v>1585</v>
      </c>
      <c r="AZ5" s="7" t="s">
        <v>1586</v>
      </c>
      <c r="BE5" s="7" t="s">
        <v>334</v>
      </c>
      <c r="BH5" s="14"/>
      <c r="BI5" s="7" t="s">
        <v>1358</v>
      </c>
      <c r="BK5" s="7" t="s">
        <v>1587</v>
      </c>
      <c r="BV5" s="7" t="s">
        <v>1562</v>
      </c>
    </row>
    <row r="6" spans="1:76" x14ac:dyDescent="0.2">
      <c r="A6" s="6" t="s">
        <v>30</v>
      </c>
      <c r="B6" s="7" t="s">
        <v>1563</v>
      </c>
      <c r="AI6" s="14"/>
      <c r="AJ6" s="14"/>
      <c r="AL6" s="14"/>
      <c r="BH6" s="14"/>
    </row>
    <row r="7" spans="1:76" ht="63.75" x14ac:dyDescent="0.2">
      <c r="A7" s="6" t="s">
        <v>66</v>
      </c>
      <c r="B7" s="7" t="s">
        <v>251</v>
      </c>
      <c r="C7" s="7" t="s">
        <v>251</v>
      </c>
      <c r="E7" s="7" t="s">
        <v>1556</v>
      </c>
      <c r="F7" s="7" t="s">
        <v>3033</v>
      </c>
      <c r="H7" s="7" t="s">
        <v>3059</v>
      </c>
      <c r="J7" s="7" t="s">
        <v>3080</v>
      </c>
      <c r="L7" s="7" t="s">
        <v>3082</v>
      </c>
      <c r="N7" s="7" t="s">
        <v>251</v>
      </c>
      <c r="O7" s="7" t="s">
        <v>3092</v>
      </c>
      <c r="Q7" s="7" t="s">
        <v>3101</v>
      </c>
      <c r="S7" s="7" t="s">
        <v>1557</v>
      </c>
      <c r="U7" s="7" t="s">
        <v>334</v>
      </c>
      <c r="X7" s="7" t="s">
        <v>3111</v>
      </c>
      <c r="Z7" s="7" t="s">
        <v>130</v>
      </c>
      <c r="AA7" s="7" t="s">
        <v>1688</v>
      </c>
      <c r="AB7" s="7" t="s">
        <v>331</v>
      </c>
      <c r="AC7" s="7" t="s">
        <v>3123</v>
      </c>
      <c r="AE7" s="7" t="s">
        <v>3145</v>
      </c>
      <c r="AG7" s="7" t="s">
        <v>3183</v>
      </c>
      <c r="AI7" s="14">
        <v>1100</v>
      </c>
      <c r="AJ7" s="14"/>
      <c r="AL7" s="14"/>
      <c r="AM7" s="7" t="s">
        <v>334</v>
      </c>
      <c r="AX7" s="7" t="s">
        <v>251</v>
      </c>
      <c r="AY7" s="7" t="s">
        <v>1688</v>
      </c>
      <c r="AZ7" s="7" t="s">
        <v>1586</v>
      </c>
      <c r="BE7" s="7" t="s">
        <v>334</v>
      </c>
      <c r="BI7" s="7" t="s">
        <v>1358</v>
      </c>
      <c r="BK7" s="7" t="s">
        <v>3274</v>
      </c>
      <c r="BU7" s="7" t="s">
        <v>1562</v>
      </c>
      <c r="BW7" s="7" t="s">
        <v>1562</v>
      </c>
    </row>
    <row r="8" spans="1:76" ht="89.25" x14ac:dyDescent="0.2">
      <c r="A8" s="6" t="s">
        <v>34</v>
      </c>
      <c r="B8" s="7" t="s">
        <v>251</v>
      </c>
      <c r="C8" s="7" t="s">
        <v>251</v>
      </c>
      <c r="E8" s="7" t="s">
        <v>1556</v>
      </c>
      <c r="F8" s="7" t="s">
        <v>1643</v>
      </c>
      <c r="H8" s="7" t="s">
        <v>3053</v>
      </c>
      <c r="J8" s="7" t="s">
        <v>3070</v>
      </c>
      <c r="L8" s="7" t="s">
        <v>3082</v>
      </c>
      <c r="N8" s="7" t="s">
        <v>334</v>
      </c>
      <c r="S8" s="7" t="s">
        <v>1557</v>
      </c>
      <c r="U8" s="7" t="s">
        <v>251</v>
      </c>
      <c r="V8" s="7" t="s">
        <v>1559</v>
      </c>
      <c r="X8" s="7" t="s">
        <v>3108</v>
      </c>
      <c r="Z8" s="7" t="s">
        <v>3117</v>
      </c>
      <c r="AA8" s="7" t="s">
        <v>1644</v>
      </c>
      <c r="AB8" s="7" t="s">
        <v>331</v>
      </c>
      <c r="AC8" s="7" t="s">
        <v>3121</v>
      </c>
      <c r="AE8" s="7" t="s">
        <v>3153</v>
      </c>
      <c r="AG8" s="7" t="s">
        <v>3170</v>
      </c>
      <c r="AI8" s="14"/>
      <c r="AJ8" s="14"/>
      <c r="AL8" s="14"/>
      <c r="AM8" s="7" t="s">
        <v>251</v>
      </c>
      <c r="AN8" s="7" t="s">
        <v>1558</v>
      </c>
      <c r="AO8" s="7">
        <v>5</v>
      </c>
      <c r="AQ8" s="7" t="s">
        <v>3191</v>
      </c>
      <c r="AS8" s="7" t="s">
        <v>3225</v>
      </c>
      <c r="AU8" s="7" t="s">
        <v>1559</v>
      </c>
      <c r="AW8" s="7" t="s">
        <v>251</v>
      </c>
      <c r="AX8" s="7" t="s">
        <v>251</v>
      </c>
      <c r="AY8" s="7" t="s">
        <v>1645</v>
      </c>
      <c r="AZ8" s="7" t="s">
        <v>3238</v>
      </c>
      <c r="BB8" s="7" t="s">
        <v>1646</v>
      </c>
      <c r="BD8" s="7" t="s">
        <v>1647</v>
      </c>
      <c r="BE8" s="7" t="s">
        <v>334</v>
      </c>
      <c r="BH8" s="14"/>
      <c r="BI8" s="7" t="s">
        <v>1614</v>
      </c>
      <c r="BK8" s="7" t="s">
        <v>3268</v>
      </c>
      <c r="BO8" s="7" t="s">
        <v>213</v>
      </c>
      <c r="BP8" s="7" t="s">
        <v>213</v>
      </c>
      <c r="BQ8" s="7" t="s">
        <v>213</v>
      </c>
      <c r="BS8" s="7" t="s">
        <v>213</v>
      </c>
      <c r="BV8" s="7" t="s">
        <v>1562</v>
      </c>
      <c r="BW8" s="7" t="s">
        <v>1562</v>
      </c>
      <c r="BX8" s="7" t="s">
        <v>1562</v>
      </c>
    </row>
    <row r="9" spans="1:76" ht="76.5" x14ac:dyDescent="0.2">
      <c r="A9" s="6" t="s">
        <v>31</v>
      </c>
      <c r="B9" s="7" t="s">
        <v>251</v>
      </c>
      <c r="C9" s="7" t="s">
        <v>251</v>
      </c>
      <c r="E9" s="7" t="s">
        <v>1556</v>
      </c>
      <c r="F9" s="7" t="s">
        <v>3035</v>
      </c>
      <c r="H9" s="7" t="s">
        <v>3051</v>
      </c>
      <c r="J9" s="7" t="s">
        <v>3068</v>
      </c>
      <c r="L9" s="7" t="s">
        <v>356</v>
      </c>
      <c r="N9" s="7" t="s">
        <v>251</v>
      </c>
      <c r="O9" s="7" t="s">
        <v>3089</v>
      </c>
      <c r="Q9" s="7" t="s">
        <v>1627</v>
      </c>
      <c r="S9" s="7" t="s">
        <v>1557</v>
      </c>
      <c r="U9" s="7" t="s">
        <v>251</v>
      </c>
      <c r="V9" s="7" t="s">
        <v>1595</v>
      </c>
      <c r="X9" s="7" t="s">
        <v>3108</v>
      </c>
      <c r="Z9" s="7" t="s">
        <v>3113</v>
      </c>
      <c r="AB9" s="7" t="s">
        <v>331</v>
      </c>
      <c r="AC9" s="7" t="s">
        <v>3122</v>
      </c>
      <c r="AE9" s="7" t="s">
        <v>3135</v>
      </c>
      <c r="AG9" s="7" t="s">
        <v>3168</v>
      </c>
      <c r="AI9" s="14"/>
      <c r="AJ9" s="14"/>
      <c r="AL9" s="14"/>
      <c r="AM9" s="7" t="s">
        <v>251</v>
      </c>
      <c r="AN9" s="7" t="s">
        <v>1558</v>
      </c>
      <c r="AO9" s="7">
        <v>5</v>
      </c>
      <c r="AQ9" s="7" t="s">
        <v>3191</v>
      </c>
      <c r="AS9" s="7" t="s">
        <v>3223</v>
      </c>
      <c r="AU9" s="7" t="s">
        <v>1595</v>
      </c>
      <c r="AW9" s="7" t="s">
        <v>251</v>
      </c>
      <c r="AX9" s="7" t="s">
        <v>251</v>
      </c>
      <c r="AZ9" s="7" t="s">
        <v>3232</v>
      </c>
      <c r="BB9" s="7" t="s">
        <v>3252</v>
      </c>
      <c r="BE9" s="7" t="s">
        <v>334</v>
      </c>
      <c r="BH9" s="14"/>
      <c r="BI9" s="7" t="s">
        <v>1639</v>
      </c>
      <c r="BK9" s="7" t="s">
        <v>3266</v>
      </c>
      <c r="BM9" s="7" t="s">
        <v>213</v>
      </c>
      <c r="BP9" s="7" t="s">
        <v>213</v>
      </c>
      <c r="BQ9" s="7" t="s">
        <v>213</v>
      </c>
      <c r="BS9" s="7" t="s">
        <v>213</v>
      </c>
      <c r="BV9" s="7" t="s">
        <v>1562</v>
      </c>
      <c r="BW9" s="7" t="s">
        <v>1562</v>
      </c>
      <c r="BX9" s="7" t="s">
        <v>1562</v>
      </c>
    </row>
    <row r="10" spans="1:76" x14ac:dyDescent="0.2">
      <c r="A10" s="6" t="s">
        <v>46</v>
      </c>
      <c r="B10" s="7" t="s">
        <v>345</v>
      </c>
      <c r="AI10" s="14"/>
      <c r="AJ10" s="14"/>
      <c r="AL10" s="14"/>
      <c r="BH10" s="14"/>
    </row>
    <row r="11" spans="1:76" ht="63.75" x14ac:dyDescent="0.2">
      <c r="A11" s="6" t="s">
        <v>42</v>
      </c>
      <c r="B11" s="7" t="s">
        <v>251</v>
      </c>
      <c r="C11" s="7" t="s">
        <v>251</v>
      </c>
      <c r="E11" s="7" t="s">
        <v>1556</v>
      </c>
      <c r="F11" s="7" t="s">
        <v>3035</v>
      </c>
      <c r="H11" s="7" t="s">
        <v>3055</v>
      </c>
      <c r="J11" s="7" t="s">
        <v>3073</v>
      </c>
      <c r="L11" s="7" t="s">
        <v>3082</v>
      </c>
      <c r="N11" s="7" t="s">
        <v>334</v>
      </c>
      <c r="S11" s="7" t="s">
        <v>1557</v>
      </c>
      <c r="U11" s="7" t="s">
        <v>334</v>
      </c>
      <c r="X11" s="7" t="s">
        <v>3104</v>
      </c>
      <c r="Z11" s="7" t="s">
        <v>130</v>
      </c>
      <c r="AA11" s="7" t="s">
        <v>1654</v>
      </c>
      <c r="AB11" s="7" t="s">
        <v>331</v>
      </c>
      <c r="AC11" s="7" t="s">
        <v>3124</v>
      </c>
      <c r="AE11" s="7" t="s">
        <v>3137</v>
      </c>
      <c r="AG11" s="7" t="s">
        <v>3172</v>
      </c>
      <c r="AH11" s="7" t="s">
        <v>1655</v>
      </c>
      <c r="AI11" s="14">
        <v>100</v>
      </c>
      <c r="AJ11" s="14"/>
      <c r="AL11" s="14"/>
      <c r="AM11" s="7" t="s">
        <v>251</v>
      </c>
      <c r="AN11" s="7" t="s">
        <v>1637</v>
      </c>
      <c r="AP11" s="7">
        <v>8</v>
      </c>
      <c r="AQ11" s="7" t="s">
        <v>3203</v>
      </c>
      <c r="AS11" s="7" t="s">
        <v>3220</v>
      </c>
      <c r="AU11" s="7" t="s">
        <v>130</v>
      </c>
      <c r="AV11" s="7" t="s">
        <v>1656</v>
      </c>
      <c r="AW11" s="7" t="s">
        <v>251</v>
      </c>
      <c r="AX11" s="7" t="s">
        <v>334</v>
      </c>
      <c r="AZ11" s="7" t="s">
        <v>3240</v>
      </c>
      <c r="BB11" s="7" t="s">
        <v>3254</v>
      </c>
      <c r="BE11" s="7" t="s">
        <v>251</v>
      </c>
      <c r="BF11" s="7" t="s">
        <v>251</v>
      </c>
      <c r="BG11" s="7" t="s">
        <v>1657</v>
      </c>
      <c r="BH11" s="14">
        <v>100</v>
      </c>
      <c r="BI11" s="7" t="s">
        <v>3256</v>
      </c>
      <c r="BK11" s="7" t="s">
        <v>3270</v>
      </c>
      <c r="BQ11" s="7" t="s">
        <v>1603</v>
      </c>
      <c r="BU11" s="7" t="s">
        <v>1562</v>
      </c>
      <c r="BV11" s="7" t="s">
        <v>1562</v>
      </c>
      <c r="BW11" s="7" t="s">
        <v>1562</v>
      </c>
      <c r="BX11" s="7" t="s">
        <v>1603</v>
      </c>
    </row>
    <row r="12" spans="1:76" ht="76.5" x14ac:dyDescent="0.2">
      <c r="A12" s="6" t="s">
        <v>33</v>
      </c>
      <c r="B12" s="7" t="s">
        <v>251</v>
      </c>
      <c r="C12" s="7" t="s">
        <v>251</v>
      </c>
      <c r="E12" s="7" t="s">
        <v>1578</v>
      </c>
      <c r="F12" s="7" t="s">
        <v>3035</v>
      </c>
      <c r="H12" s="7" t="s">
        <v>3052</v>
      </c>
      <c r="J12" s="7" t="s">
        <v>3069</v>
      </c>
      <c r="L12" s="7" t="s">
        <v>1581</v>
      </c>
      <c r="N12" s="7" t="s">
        <v>251</v>
      </c>
      <c r="O12" s="7" t="s">
        <v>1640</v>
      </c>
      <c r="S12" s="7" t="s">
        <v>1557</v>
      </c>
      <c r="U12" s="7" t="s">
        <v>251</v>
      </c>
      <c r="V12" s="7" t="s">
        <v>1608</v>
      </c>
      <c r="X12" s="7" t="s">
        <v>3109</v>
      </c>
      <c r="Z12" s="7" t="s">
        <v>3114</v>
      </c>
      <c r="AB12" s="7" t="s">
        <v>331</v>
      </c>
      <c r="AC12" s="7" t="s">
        <v>2904</v>
      </c>
      <c r="AE12" s="7" t="s">
        <v>3152</v>
      </c>
      <c r="AG12" s="7" t="s">
        <v>3169</v>
      </c>
      <c r="AI12" s="14"/>
      <c r="AJ12" s="14"/>
      <c r="AL12" s="14"/>
      <c r="AM12" s="7" t="s">
        <v>251</v>
      </c>
      <c r="AN12" s="7" t="s">
        <v>1558</v>
      </c>
      <c r="AO12" s="7">
        <v>8</v>
      </c>
      <c r="AQ12" s="7" t="s">
        <v>3201</v>
      </c>
      <c r="AS12" s="7" t="s">
        <v>3224</v>
      </c>
      <c r="AU12" s="7" t="s">
        <v>1559</v>
      </c>
      <c r="AW12" s="7" t="s">
        <v>251</v>
      </c>
      <c r="AX12" s="7" t="s">
        <v>251</v>
      </c>
      <c r="AY12" s="7" t="s">
        <v>1641</v>
      </c>
      <c r="AZ12" s="7" t="s">
        <v>3237</v>
      </c>
      <c r="BB12" s="7" t="s">
        <v>3253</v>
      </c>
      <c r="BE12" s="7" t="s">
        <v>251</v>
      </c>
      <c r="BF12" s="7" t="s">
        <v>251</v>
      </c>
      <c r="BG12" s="7" t="s">
        <v>1642</v>
      </c>
      <c r="BH12" s="14"/>
      <c r="BI12" s="7" t="s">
        <v>130</v>
      </c>
      <c r="BK12" s="7" t="s">
        <v>3267</v>
      </c>
      <c r="BP12" s="7" t="s">
        <v>213</v>
      </c>
      <c r="BV12" s="7" t="s">
        <v>1562</v>
      </c>
      <c r="BW12" s="7" t="s">
        <v>1562</v>
      </c>
      <c r="BX12" s="7" t="s">
        <v>1562</v>
      </c>
    </row>
    <row r="13" spans="1:76" x14ac:dyDescent="0.2">
      <c r="A13" s="6" t="s">
        <v>55</v>
      </c>
      <c r="B13" s="7" t="s">
        <v>334</v>
      </c>
      <c r="AI13" s="14"/>
      <c r="AJ13" s="14"/>
      <c r="AL13" s="14"/>
      <c r="BH13" s="14"/>
    </row>
    <row r="14" spans="1:76" x14ac:dyDescent="0.2">
      <c r="A14" s="6" t="s">
        <v>48</v>
      </c>
      <c r="B14" s="7" t="s">
        <v>1563</v>
      </c>
      <c r="AI14" s="14"/>
      <c r="AJ14" s="14"/>
      <c r="AL14" s="14"/>
      <c r="BH14" s="14"/>
    </row>
    <row r="15" spans="1:76" x14ac:dyDescent="0.2">
      <c r="A15" s="6" t="s">
        <v>57</v>
      </c>
      <c r="B15" s="7" t="s">
        <v>345</v>
      </c>
      <c r="AI15" s="14"/>
      <c r="AJ15" s="14"/>
      <c r="AL15" s="14"/>
      <c r="BH15" s="14"/>
    </row>
    <row r="16" spans="1:76" ht="76.5" x14ac:dyDescent="0.2">
      <c r="A16" s="6" t="s">
        <v>54</v>
      </c>
      <c r="B16" s="7" t="s">
        <v>251</v>
      </c>
      <c r="C16" s="7" t="s">
        <v>251</v>
      </c>
      <c r="E16" s="7" t="s">
        <v>1578</v>
      </c>
      <c r="F16" s="7" t="s">
        <v>1579</v>
      </c>
      <c r="H16" s="7" t="s">
        <v>3040</v>
      </c>
      <c r="J16" s="7" t="s">
        <v>3061</v>
      </c>
      <c r="L16" s="7" t="s">
        <v>3082</v>
      </c>
      <c r="N16" s="7" t="s">
        <v>345</v>
      </c>
      <c r="S16" s="7" t="s">
        <v>1557</v>
      </c>
      <c r="U16" s="7" t="s">
        <v>334</v>
      </c>
      <c r="X16" s="7" t="s">
        <v>1635</v>
      </c>
      <c r="AB16" s="7" t="s">
        <v>331</v>
      </c>
      <c r="AC16" s="7" t="s">
        <v>3123</v>
      </c>
      <c r="AE16" s="7" t="s">
        <v>3139</v>
      </c>
      <c r="AG16" s="7" t="s">
        <v>3176</v>
      </c>
      <c r="AI16" s="14"/>
      <c r="AJ16" s="14"/>
      <c r="AL16" s="14"/>
      <c r="AM16" s="7" t="s">
        <v>251</v>
      </c>
      <c r="AN16" s="7" t="s">
        <v>1637</v>
      </c>
      <c r="AP16" s="7">
        <v>20</v>
      </c>
      <c r="AQ16" s="7" t="s">
        <v>3191</v>
      </c>
      <c r="AS16" s="7" t="s">
        <v>3215</v>
      </c>
      <c r="AU16" s="7" t="s">
        <v>130</v>
      </c>
      <c r="AV16" s="7" t="s">
        <v>1670</v>
      </c>
      <c r="AW16" s="7" t="s">
        <v>251</v>
      </c>
      <c r="AX16" s="7" t="s">
        <v>334</v>
      </c>
      <c r="AZ16" s="7" t="s">
        <v>1586</v>
      </c>
      <c r="BE16" s="7" t="s">
        <v>334</v>
      </c>
      <c r="BH16" s="14"/>
      <c r="BI16" s="7" t="s">
        <v>1358</v>
      </c>
      <c r="BK16" s="7" t="s">
        <v>1587</v>
      </c>
      <c r="BX16" s="7" t="s">
        <v>1603</v>
      </c>
    </row>
    <row r="17" spans="1:76" ht="76.5" x14ac:dyDescent="0.2">
      <c r="A17" s="6" t="s">
        <v>23</v>
      </c>
      <c r="B17" s="7" t="s">
        <v>251</v>
      </c>
      <c r="C17" s="7" t="s">
        <v>251</v>
      </c>
      <c r="E17" s="7" t="s">
        <v>1556</v>
      </c>
      <c r="F17" s="7" t="s">
        <v>3033</v>
      </c>
      <c r="H17" s="7" t="s">
        <v>3044</v>
      </c>
      <c r="J17" s="7" t="s">
        <v>3063</v>
      </c>
      <c r="L17" s="7" t="s">
        <v>3082</v>
      </c>
      <c r="N17" s="7" t="s">
        <v>345</v>
      </c>
      <c r="S17" s="7" t="s">
        <v>1557</v>
      </c>
      <c r="U17" s="7" t="s">
        <v>251</v>
      </c>
      <c r="V17" s="7" t="s">
        <v>1608</v>
      </c>
      <c r="X17" s="7" t="s">
        <v>3106</v>
      </c>
      <c r="Z17" s="7" t="s">
        <v>1609</v>
      </c>
      <c r="AB17" s="7" t="s">
        <v>331</v>
      </c>
      <c r="AC17" s="7" t="s">
        <v>3122</v>
      </c>
      <c r="AE17" s="7" t="s">
        <v>3131</v>
      </c>
      <c r="AG17" s="7" t="s">
        <v>3163</v>
      </c>
      <c r="AI17" s="14">
        <v>535</v>
      </c>
      <c r="AJ17" s="14"/>
      <c r="AK17" s="7" t="s">
        <v>251</v>
      </c>
      <c r="AL17" s="14">
        <v>535</v>
      </c>
      <c r="AM17" s="7" t="s">
        <v>251</v>
      </c>
      <c r="AN17" s="7" t="s">
        <v>1558</v>
      </c>
      <c r="AO17" s="7">
        <v>5</v>
      </c>
      <c r="AQ17" s="7" t="s">
        <v>3196</v>
      </c>
      <c r="AS17" s="7" t="s">
        <v>3220</v>
      </c>
      <c r="AU17" s="7" t="s">
        <v>130</v>
      </c>
      <c r="AV17" s="7" t="s">
        <v>1610</v>
      </c>
      <c r="AW17" s="7" t="s">
        <v>251</v>
      </c>
      <c r="AX17" s="7" t="s">
        <v>251</v>
      </c>
      <c r="AY17" s="7" t="s">
        <v>1611</v>
      </c>
      <c r="AZ17" s="7" t="s">
        <v>3233</v>
      </c>
      <c r="BB17" s="7" t="s">
        <v>3251</v>
      </c>
      <c r="BD17" s="7" t="s">
        <v>1612</v>
      </c>
      <c r="BE17" s="7" t="s">
        <v>251</v>
      </c>
      <c r="BF17" s="7" t="s">
        <v>251</v>
      </c>
      <c r="BG17" s="7" t="s">
        <v>1613</v>
      </c>
      <c r="BH17" s="14">
        <v>67</v>
      </c>
      <c r="BI17" s="7" t="s">
        <v>1614</v>
      </c>
      <c r="BK17" s="7" t="s">
        <v>3262</v>
      </c>
      <c r="BO17" s="7" t="s">
        <v>213</v>
      </c>
      <c r="BP17" s="7" t="s">
        <v>213</v>
      </c>
      <c r="BQ17" s="7" t="s">
        <v>1604</v>
      </c>
      <c r="BR17" s="7" t="s">
        <v>213</v>
      </c>
      <c r="BS17" s="7" t="s">
        <v>213</v>
      </c>
      <c r="BU17" s="7" t="s">
        <v>1562</v>
      </c>
      <c r="BV17" s="7" t="s">
        <v>1562</v>
      </c>
      <c r="BW17" s="7" t="s">
        <v>1562</v>
      </c>
      <c r="BX17" s="7" t="s">
        <v>1604</v>
      </c>
    </row>
    <row r="18" spans="1:76" ht="76.5" x14ac:dyDescent="0.2">
      <c r="A18" s="6" t="s">
        <v>27</v>
      </c>
      <c r="B18" s="7" t="s">
        <v>251</v>
      </c>
      <c r="C18" s="7" t="s">
        <v>251</v>
      </c>
      <c r="E18" s="7" t="s">
        <v>1578</v>
      </c>
      <c r="F18" s="7" t="s">
        <v>3033</v>
      </c>
      <c r="H18" s="7" t="s">
        <v>3038</v>
      </c>
      <c r="J18" s="7" t="s">
        <v>3066</v>
      </c>
      <c r="L18" s="7" t="s">
        <v>3082</v>
      </c>
      <c r="N18" s="7" t="s">
        <v>334</v>
      </c>
      <c r="S18" s="7" t="s">
        <v>130</v>
      </c>
      <c r="T18" s="7" t="s">
        <v>1632</v>
      </c>
      <c r="U18" s="7" t="s">
        <v>334</v>
      </c>
      <c r="X18" s="7" t="s">
        <v>1599</v>
      </c>
      <c r="Z18" s="7" t="s">
        <v>1583</v>
      </c>
      <c r="AB18" s="7" t="s">
        <v>331</v>
      </c>
      <c r="AC18" s="7" t="s">
        <v>3123</v>
      </c>
      <c r="AE18" s="7" t="s">
        <v>3134</v>
      </c>
      <c r="AG18" s="7" t="s">
        <v>3166</v>
      </c>
      <c r="AI18" s="14">
        <v>792</v>
      </c>
      <c r="AJ18" s="14"/>
      <c r="AL18" s="14"/>
      <c r="AM18" s="7" t="s">
        <v>251</v>
      </c>
      <c r="AN18" s="7" t="s">
        <v>1371</v>
      </c>
      <c r="AQ18" s="7" t="s">
        <v>3191</v>
      </c>
      <c r="AS18" s="7" t="s">
        <v>3218</v>
      </c>
      <c r="AU18" s="7" t="s">
        <v>1565</v>
      </c>
      <c r="AX18" s="7" t="s">
        <v>251</v>
      </c>
      <c r="AY18" s="7" t="s">
        <v>1633</v>
      </c>
      <c r="AZ18" s="7" t="s">
        <v>1586</v>
      </c>
      <c r="BE18" s="7" t="s">
        <v>334</v>
      </c>
      <c r="BH18" s="14"/>
      <c r="BI18" s="7" t="s">
        <v>1358</v>
      </c>
      <c r="BK18" s="7" t="s">
        <v>1587</v>
      </c>
      <c r="BW18" s="7" t="s">
        <v>1562</v>
      </c>
    </row>
    <row r="19" spans="1:76" ht="89.25" x14ac:dyDescent="0.2">
      <c r="A19" s="6" t="s">
        <v>63</v>
      </c>
      <c r="B19" s="7" t="s">
        <v>251</v>
      </c>
      <c r="C19" s="7" t="s">
        <v>251</v>
      </c>
      <c r="E19" s="7" t="s">
        <v>1556</v>
      </c>
      <c r="F19" s="7" t="s">
        <v>3035</v>
      </c>
      <c r="H19" s="7" t="s">
        <v>3058</v>
      </c>
      <c r="J19" s="7" t="s">
        <v>3079</v>
      </c>
      <c r="L19" s="7" t="s">
        <v>3084</v>
      </c>
      <c r="M19" s="7" t="s">
        <v>1681</v>
      </c>
      <c r="N19" s="7" t="s">
        <v>251</v>
      </c>
      <c r="O19" s="7" t="s">
        <v>130</v>
      </c>
      <c r="P19" s="7" t="s">
        <v>1682</v>
      </c>
      <c r="S19" s="7" t="s">
        <v>1557</v>
      </c>
      <c r="U19" s="7" t="s">
        <v>251</v>
      </c>
      <c r="V19" s="7" t="s">
        <v>1608</v>
      </c>
      <c r="X19" s="7" t="s">
        <v>1635</v>
      </c>
      <c r="Z19" s="7" t="s">
        <v>130</v>
      </c>
      <c r="AA19" s="7" t="s">
        <v>1608</v>
      </c>
      <c r="AB19" s="7" t="s">
        <v>404</v>
      </c>
      <c r="AE19" s="7" t="s">
        <v>3144</v>
      </c>
      <c r="AF19" s="7" t="s">
        <v>1683</v>
      </c>
      <c r="AG19" s="7" t="s">
        <v>3182</v>
      </c>
      <c r="AH19" s="7" t="s">
        <v>1684</v>
      </c>
      <c r="AI19" s="14">
        <v>600</v>
      </c>
      <c r="AJ19" s="14"/>
      <c r="AL19" s="14"/>
      <c r="AM19" s="7" t="s">
        <v>251</v>
      </c>
      <c r="AN19" s="7" t="s">
        <v>1558</v>
      </c>
      <c r="AO19" s="7">
        <v>3</v>
      </c>
      <c r="AQ19" s="7" t="s">
        <v>3191</v>
      </c>
      <c r="AS19" s="7" t="s">
        <v>3218</v>
      </c>
      <c r="AU19" s="7" t="s">
        <v>1659</v>
      </c>
      <c r="AW19" s="7" t="s">
        <v>251</v>
      </c>
      <c r="AX19" s="7" t="s">
        <v>251</v>
      </c>
      <c r="AY19" s="7" t="s">
        <v>1685</v>
      </c>
      <c r="AZ19" s="7" t="s">
        <v>3232</v>
      </c>
      <c r="BB19" s="7" t="s">
        <v>1567</v>
      </c>
      <c r="BD19" s="7" t="s">
        <v>1686</v>
      </c>
      <c r="BE19" s="7" t="s">
        <v>251</v>
      </c>
      <c r="BF19" s="7" t="s">
        <v>251</v>
      </c>
      <c r="BG19" s="7" t="s">
        <v>1687</v>
      </c>
      <c r="BH19" s="14">
        <v>434</v>
      </c>
      <c r="BI19" s="7" t="s">
        <v>3257</v>
      </c>
      <c r="BK19" s="7" t="s">
        <v>3273</v>
      </c>
      <c r="BQ19" s="7" t="s">
        <v>213</v>
      </c>
      <c r="BX19" s="7" t="s">
        <v>1562</v>
      </c>
    </row>
    <row r="20" spans="1:76" ht="102" x14ac:dyDescent="0.2">
      <c r="A20" s="6" t="s">
        <v>25</v>
      </c>
      <c r="B20" s="7" t="s">
        <v>251</v>
      </c>
      <c r="C20" s="7" t="s">
        <v>251</v>
      </c>
      <c r="E20" s="7" t="s">
        <v>1578</v>
      </c>
      <c r="F20" s="7" t="s">
        <v>1621</v>
      </c>
      <c r="H20" s="7" t="s">
        <v>3049</v>
      </c>
      <c r="I20" s="7" t="s">
        <v>1622</v>
      </c>
      <c r="J20" s="7" t="s">
        <v>3065</v>
      </c>
      <c r="L20" s="7" t="s">
        <v>3082</v>
      </c>
      <c r="N20" s="7" t="s">
        <v>345</v>
      </c>
      <c r="S20" s="7" t="s">
        <v>130</v>
      </c>
      <c r="T20" s="7" t="s">
        <v>1623</v>
      </c>
      <c r="U20" s="7" t="s">
        <v>334</v>
      </c>
      <c r="X20" s="7" t="s">
        <v>3108</v>
      </c>
      <c r="Z20" s="7" t="s">
        <v>3119</v>
      </c>
      <c r="AA20" s="7" t="s">
        <v>1624</v>
      </c>
      <c r="AB20" s="7" t="s">
        <v>331</v>
      </c>
      <c r="AC20" s="7" t="s">
        <v>3124</v>
      </c>
      <c r="AE20" s="7" t="s">
        <v>3150</v>
      </c>
      <c r="AG20" s="7" t="s">
        <v>3188</v>
      </c>
      <c r="AI20" s="14">
        <v>350</v>
      </c>
      <c r="AJ20" s="14"/>
      <c r="AL20" s="14"/>
      <c r="AM20" s="7" t="s">
        <v>251</v>
      </c>
      <c r="AN20" s="7" t="s">
        <v>1558</v>
      </c>
      <c r="AO20" s="7">
        <v>8</v>
      </c>
      <c r="AQ20" s="7" t="s">
        <v>3198</v>
      </c>
      <c r="AS20" s="7" t="s">
        <v>3215</v>
      </c>
      <c r="AU20" s="7" t="s">
        <v>1584</v>
      </c>
      <c r="AW20" s="7" t="s">
        <v>251</v>
      </c>
      <c r="AX20" s="7" t="s">
        <v>251</v>
      </c>
      <c r="AY20" s="7" t="s">
        <v>1625</v>
      </c>
      <c r="AZ20" s="7" t="s">
        <v>3235</v>
      </c>
      <c r="BB20" s="7" t="s">
        <v>3253</v>
      </c>
      <c r="BE20" s="7" t="s">
        <v>251</v>
      </c>
      <c r="BF20" s="7" t="s">
        <v>251</v>
      </c>
      <c r="BG20" s="7" t="s">
        <v>1626</v>
      </c>
      <c r="BH20" s="14">
        <v>350</v>
      </c>
      <c r="BI20" s="7" t="s">
        <v>3256</v>
      </c>
      <c r="BK20" s="7" t="s">
        <v>3264</v>
      </c>
      <c r="BN20" s="7" t="s">
        <v>213</v>
      </c>
      <c r="BO20" s="7" t="s">
        <v>213</v>
      </c>
      <c r="BQ20" s="7" t="s">
        <v>1603</v>
      </c>
      <c r="BS20" s="7" t="s">
        <v>213</v>
      </c>
      <c r="BT20" s="7" t="s">
        <v>213</v>
      </c>
      <c r="BV20" s="7" t="s">
        <v>1603</v>
      </c>
      <c r="BW20" s="7" t="s">
        <v>1603</v>
      </c>
      <c r="BX20" s="7" t="s">
        <v>1603</v>
      </c>
    </row>
    <row r="21" spans="1:76" ht="51" x14ac:dyDescent="0.2">
      <c r="A21" s="6" t="s">
        <v>26</v>
      </c>
      <c r="B21" s="7" t="s">
        <v>251</v>
      </c>
      <c r="C21" s="7" t="s">
        <v>251</v>
      </c>
      <c r="E21" s="7" t="s">
        <v>1556</v>
      </c>
      <c r="F21" s="7" t="s">
        <v>3034</v>
      </c>
      <c r="H21" s="7" t="s">
        <v>3050</v>
      </c>
      <c r="J21" s="7" t="s">
        <v>1580</v>
      </c>
      <c r="L21" s="7" t="s">
        <v>3082</v>
      </c>
      <c r="N21" s="7" t="s">
        <v>251</v>
      </c>
      <c r="O21" s="7" t="s">
        <v>3088</v>
      </c>
      <c r="Q21" s="7" t="s">
        <v>1627</v>
      </c>
      <c r="S21" s="7" t="s">
        <v>130</v>
      </c>
      <c r="T21" s="7" t="s">
        <v>1628</v>
      </c>
      <c r="U21" s="7" t="s">
        <v>251</v>
      </c>
      <c r="V21" s="7" t="s">
        <v>1608</v>
      </c>
      <c r="X21" s="7" t="s">
        <v>3109</v>
      </c>
      <c r="Z21" s="7" t="s">
        <v>3112</v>
      </c>
      <c r="AB21" s="7" t="s">
        <v>404</v>
      </c>
      <c r="AE21" s="7" t="s">
        <v>3133</v>
      </c>
      <c r="AG21" s="7" t="s">
        <v>3165</v>
      </c>
      <c r="AI21" s="14"/>
      <c r="AJ21" s="14"/>
      <c r="AL21" s="14"/>
      <c r="AM21" s="7" t="s">
        <v>251</v>
      </c>
      <c r="AN21" s="7" t="s">
        <v>1558</v>
      </c>
      <c r="AO21" s="7">
        <v>8</v>
      </c>
      <c r="AQ21" s="7" t="s">
        <v>3199</v>
      </c>
      <c r="AS21" s="7" t="s">
        <v>3222</v>
      </c>
      <c r="AU21" s="7" t="s">
        <v>1595</v>
      </c>
      <c r="AX21" s="7" t="s">
        <v>251</v>
      </c>
      <c r="AY21" s="7" t="s">
        <v>1629</v>
      </c>
      <c r="AZ21" s="7" t="s">
        <v>1630</v>
      </c>
      <c r="BB21" s="7" t="s">
        <v>1567</v>
      </c>
      <c r="BE21" s="7" t="s">
        <v>334</v>
      </c>
      <c r="BH21" s="14"/>
      <c r="BI21" s="7" t="s">
        <v>1631</v>
      </c>
      <c r="BK21" s="7" t="s">
        <v>3265</v>
      </c>
      <c r="BQ21" s="7" t="s">
        <v>1604</v>
      </c>
      <c r="BV21" s="7" t="s">
        <v>1603</v>
      </c>
      <c r="BW21" s="7" t="s">
        <v>1603</v>
      </c>
      <c r="BX21" s="7" t="s">
        <v>1603</v>
      </c>
    </row>
    <row r="22" spans="1:76" ht="76.5" x14ac:dyDescent="0.2">
      <c r="A22" s="6" t="s">
        <v>20</v>
      </c>
      <c r="B22" s="7" t="s">
        <v>251</v>
      </c>
      <c r="C22" s="7" t="s">
        <v>334</v>
      </c>
      <c r="E22" s="7" t="s">
        <v>1578</v>
      </c>
      <c r="F22" s="7" t="s">
        <v>1593</v>
      </c>
      <c r="H22" s="7" t="s">
        <v>1594</v>
      </c>
      <c r="J22" s="7" t="s">
        <v>3061</v>
      </c>
      <c r="L22" s="7" t="s">
        <v>356</v>
      </c>
      <c r="N22" s="7" t="s">
        <v>334</v>
      </c>
      <c r="S22" s="7" t="s">
        <v>1557</v>
      </c>
      <c r="U22" s="7" t="s">
        <v>334</v>
      </c>
      <c r="X22" s="7" t="s">
        <v>130</v>
      </c>
      <c r="Y22" s="7" t="s">
        <v>1595</v>
      </c>
      <c r="Z22" s="7" t="s">
        <v>130</v>
      </c>
      <c r="AA22" s="7" t="s">
        <v>1595</v>
      </c>
      <c r="AB22" s="7" t="s">
        <v>331</v>
      </c>
      <c r="AC22" s="7" t="s">
        <v>3123</v>
      </c>
      <c r="AE22" s="7" t="s">
        <v>3128</v>
      </c>
      <c r="AG22" s="7" t="s">
        <v>356</v>
      </c>
      <c r="AI22" s="14"/>
      <c r="AJ22" s="14"/>
      <c r="AL22" s="14"/>
      <c r="AM22" s="7" t="s">
        <v>251</v>
      </c>
      <c r="AN22" s="7" t="s">
        <v>1371</v>
      </c>
      <c r="AQ22" s="7" t="s">
        <v>3191</v>
      </c>
      <c r="AS22" s="7" t="s">
        <v>3217</v>
      </c>
      <c r="AU22" s="7" t="s">
        <v>1595</v>
      </c>
      <c r="AX22" s="7" t="s">
        <v>334</v>
      </c>
      <c r="AZ22" s="7" t="s">
        <v>3231</v>
      </c>
      <c r="BB22" s="7" t="s">
        <v>1596</v>
      </c>
      <c r="BD22" s="7" t="s">
        <v>1597</v>
      </c>
      <c r="BE22" s="7" t="s">
        <v>334</v>
      </c>
      <c r="BH22" s="14"/>
      <c r="BI22" s="7" t="s">
        <v>1358</v>
      </c>
      <c r="BK22" s="7" t="s">
        <v>1598</v>
      </c>
    </row>
    <row r="23" spans="1:76" x14ac:dyDescent="0.2">
      <c r="A23" s="6" t="s">
        <v>70</v>
      </c>
      <c r="B23" s="7" t="s">
        <v>334</v>
      </c>
      <c r="AI23" s="14"/>
      <c r="AJ23" s="14"/>
      <c r="AL23" s="14"/>
    </row>
    <row r="24" spans="1:76" x14ac:dyDescent="0.2">
      <c r="A24" s="6" t="s">
        <v>14</v>
      </c>
      <c r="B24" s="7" t="s">
        <v>1563</v>
      </c>
      <c r="AI24" s="14"/>
      <c r="AJ24" s="14"/>
      <c r="AL24" s="14"/>
      <c r="BH24" s="14"/>
    </row>
    <row r="25" spans="1:76" ht="102" x14ac:dyDescent="0.2">
      <c r="A25" s="6" t="s">
        <v>24</v>
      </c>
      <c r="B25" s="7" t="s">
        <v>251</v>
      </c>
      <c r="C25" s="7" t="s">
        <v>251</v>
      </c>
      <c r="E25" s="7" t="s">
        <v>1556</v>
      </c>
      <c r="F25" s="7" t="s">
        <v>3037</v>
      </c>
      <c r="G25" s="7" t="s">
        <v>1615</v>
      </c>
      <c r="H25" s="7" t="s">
        <v>3048</v>
      </c>
      <c r="I25" s="7" t="s">
        <v>1616</v>
      </c>
      <c r="J25" s="7" t="s">
        <v>3064</v>
      </c>
      <c r="L25" s="7" t="s">
        <v>3082</v>
      </c>
      <c r="N25" s="7" t="s">
        <v>251</v>
      </c>
      <c r="O25" s="7" t="s">
        <v>3087</v>
      </c>
      <c r="Q25" s="7" t="s">
        <v>3099</v>
      </c>
      <c r="S25" s="7" t="s">
        <v>1557</v>
      </c>
      <c r="U25" s="7" t="s">
        <v>251</v>
      </c>
      <c r="V25" s="7" t="s">
        <v>130</v>
      </c>
      <c r="W25" s="7" t="s">
        <v>1595</v>
      </c>
      <c r="X25" s="7" t="s">
        <v>3107</v>
      </c>
      <c r="Z25" s="7" t="s">
        <v>1617</v>
      </c>
      <c r="AB25" s="7" t="s">
        <v>331</v>
      </c>
      <c r="AC25" s="7" t="s">
        <v>3124</v>
      </c>
      <c r="AE25" s="7" t="s">
        <v>3132</v>
      </c>
      <c r="AG25" s="7" t="s">
        <v>3164</v>
      </c>
      <c r="AI25" s="14"/>
      <c r="AJ25" s="14"/>
      <c r="AK25" s="7" t="s">
        <v>251</v>
      </c>
      <c r="AL25" s="14">
        <v>250</v>
      </c>
      <c r="AM25" s="7" t="s">
        <v>251</v>
      </c>
      <c r="AN25" s="7" t="s">
        <v>1558</v>
      </c>
      <c r="AO25" s="7">
        <v>10</v>
      </c>
      <c r="AQ25" s="7" t="s">
        <v>3197</v>
      </c>
      <c r="AS25" s="7" t="s">
        <v>3221</v>
      </c>
      <c r="AU25" s="7" t="s">
        <v>1595</v>
      </c>
      <c r="AX25" s="7" t="s">
        <v>251</v>
      </c>
      <c r="AY25" s="7" t="s">
        <v>1618</v>
      </c>
      <c r="AZ25" s="7" t="s">
        <v>3234</v>
      </c>
      <c r="BB25" s="7" t="s">
        <v>3252</v>
      </c>
      <c r="BE25" s="7" t="s">
        <v>334</v>
      </c>
      <c r="BH25" s="14"/>
      <c r="BI25" s="7" t="s">
        <v>130</v>
      </c>
      <c r="BK25" s="7" t="s">
        <v>3263</v>
      </c>
      <c r="BN25" s="7" t="s">
        <v>1619</v>
      </c>
      <c r="BO25" s="7" t="s">
        <v>1619</v>
      </c>
      <c r="BP25" s="7" t="s">
        <v>1620</v>
      </c>
      <c r="BQ25" s="7" t="s">
        <v>1619</v>
      </c>
      <c r="BT25" s="7" t="s">
        <v>1619</v>
      </c>
      <c r="BU25" s="7" t="s">
        <v>1619</v>
      </c>
      <c r="BW25" s="7" t="s">
        <v>1619</v>
      </c>
      <c r="BX25" s="7" t="s">
        <v>1619</v>
      </c>
    </row>
    <row r="26" spans="1:76" x14ac:dyDescent="0.2">
      <c r="A26" s="6" t="s">
        <v>37</v>
      </c>
      <c r="B26" s="7" t="s">
        <v>334</v>
      </c>
      <c r="AI26" s="14"/>
      <c r="AJ26" s="14"/>
      <c r="AL26" s="14"/>
      <c r="BH26" s="14"/>
    </row>
    <row r="27" spans="1:76" x14ac:dyDescent="0.2">
      <c r="A27" s="6" t="s">
        <v>13</v>
      </c>
      <c r="B27" s="7" t="s">
        <v>345</v>
      </c>
      <c r="AI27" s="14"/>
      <c r="AJ27" s="14"/>
      <c r="AL27" s="14"/>
      <c r="BH27" s="14"/>
    </row>
    <row r="28" spans="1:76" ht="63.75" x14ac:dyDescent="0.2">
      <c r="A28" s="6" t="s">
        <v>35</v>
      </c>
      <c r="B28" s="7" t="s">
        <v>251</v>
      </c>
      <c r="E28" s="7" t="s">
        <v>1556</v>
      </c>
      <c r="F28" s="7" t="s">
        <v>3036</v>
      </c>
      <c r="H28" s="7" t="s">
        <v>3039</v>
      </c>
      <c r="J28" s="7" t="s">
        <v>3071</v>
      </c>
      <c r="L28" s="7" t="s">
        <v>3082</v>
      </c>
      <c r="N28" s="7" t="s">
        <v>251</v>
      </c>
      <c r="O28" s="7" t="s">
        <v>3090</v>
      </c>
      <c r="Q28" s="7" t="s">
        <v>1627</v>
      </c>
      <c r="S28" s="7" t="s">
        <v>1557</v>
      </c>
      <c r="U28" s="7" t="s">
        <v>334</v>
      </c>
      <c r="X28" s="7" t="s">
        <v>3104</v>
      </c>
      <c r="Z28" s="7" t="s">
        <v>130</v>
      </c>
      <c r="AA28" s="7" t="s">
        <v>1648</v>
      </c>
      <c r="AB28" s="7" t="s">
        <v>404</v>
      </c>
      <c r="AE28" s="7" t="s">
        <v>3154</v>
      </c>
      <c r="AG28" s="7" t="s">
        <v>3189</v>
      </c>
      <c r="AI28" s="14">
        <v>1300</v>
      </c>
      <c r="AJ28" s="14"/>
      <c r="AL28" s="14"/>
      <c r="AM28" s="7" t="s">
        <v>251</v>
      </c>
      <c r="AN28" s="7" t="s">
        <v>1637</v>
      </c>
      <c r="AP28" s="7">
        <v>10</v>
      </c>
      <c r="AQ28" s="7" t="s">
        <v>3202</v>
      </c>
      <c r="AS28" s="7" t="s">
        <v>3226</v>
      </c>
      <c r="AU28" s="7" t="s">
        <v>1595</v>
      </c>
      <c r="AW28" s="7" t="s">
        <v>251</v>
      </c>
      <c r="AX28" s="7" t="s">
        <v>334</v>
      </c>
      <c r="AZ28" s="7" t="s">
        <v>3232</v>
      </c>
      <c r="BB28" s="7" t="s">
        <v>3252</v>
      </c>
      <c r="BD28" s="7" t="s">
        <v>1649</v>
      </c>
      <c r="BE28" s="7" t="s">
        <v>334</v>
      </c>
      <c r="BH28" s="14"/>
      <c r="BI28" s="7" t="s">
        <v>130</v>
      </c>
      <c r="BJ28" s="7" t="s">
        <v>1650</v>
      </c>
      <c r="BK28" s="7" t="s">
        <v>3261</v>
      </c>
      <c r="BO28" s="7" t="s">
        <v>213</v>
      </c>
      <c r="BQ28" s="7" t="s">
        <v>213</v>
      </c>
      <c r="BS28" s="7" t="s">
        <v>213</v>
      </c>
      <c r="BT28" s="7" t="s">
        <v>213</v>
      </c>
      <c r="BU28" s="7" t="s">
        <v>1562</v>
      </c>
      <c r="BV28" s="7" t="s">
        <v>1562</v>
      </c>
      <c r="BW28" s="7" t="s">
        <v>1562</v>
      </c>
      <c r="BX28" s="7" t="s">
        <v>1562</v>
      </c>
    </row>
    <row r="29" spans="1:76" x14ac:dyDescent="0.2">
      <c r="A29" s="6" t="s">
        <v>67</v>
      </c>
      <c r="B29" s="7" t="s">
        <v>334</v>
      </c>
      <c r="AI29" s="14"/>
      <c r="AJ29" s="14"/>
      <c r="AL29" s="14"/>
    </row>
    <row r="30" spans="1:76" ht="76.5" x14ac:dyDescent="0.2">
      <c r="A30" s="6" t="s">
        <v>49</v>
      </c>
      <c r="B30" s="7" t="s">
        <v>251</v>
      </c>
      <c r="C30" s="7" t="s">
        <v>251</v>
      </c>
      <c r="E30" s="7" t="s">
        <v>1556</v>
      </c>
      <c r="F30" s="7" t="s">
        <v>3035</v>
      </c>
      <c r="H30" s="7" t="s">
        <v>3044</v>
      </c>
      <c r="J30" s="7" t="s">
        <v>3076</v>
      </c>
      <c r="L30" s="7" t="s">
        <v>3082</v>
      </c>
      <c r="N30" s="7" t="s">
        <v>251</v>
      </c>
      <c r="O30" s="7" t="s">
        <v>3094</v>
      </c>
      <c r="Q30" s="7" t="s">
        <v>1557</v>
      </c>
      <c r="S30" s="7" t="s">
        <v>1557</v>
      </c>
      <c r="U30" s="7" t="s">
        <v>334</v>
      </c>
      <c r="X30" s="7" t="s">
        <v>1635</v>
      </c>
      <c r="Z30" s="7" t="s">
        <v>130</v>
      </c>
      <c r="AA30" s="7" t="s">
        <v>1663</v>
      </c>
      <c r="AB30" s="7" t="s">
        <v>404</v>
      </c>
      <c r="AE30" s="7" t="s">
        <v>3156</v>
      </c>
      <c r="AG30" s="7" t="s">
        <v>3175</v>
      </c>
      <c r="AI30" s="14"/>
      <c r="AJ30" s="14"/>
      <c r="AL30" s="14"/>
      <c r="AM30" s="7" t="s">
        <v>251</v>
      </c>
      <c r="AN30" s="7" t="s">
        <v>1558</v>
      </c>
      <c r="AO30" s="7">
        <v>8</v>
      </c>
      <c r="AQ30" s="7" t="s">
        <v>3191</v>
      </c>
      <c r="AS30" s="7" t="s">
        <v>3223</v>
      </c>
      <c r="AU30" s="7" t="s">
        <v>1559</v>
      </c>
      <c r="AX30" s="7" t="s">
        <v>251</v>
      </c>
      <c r="AY30" s="7" t="s">
        <v>1664</v>
      </c>
      <c r="AZ30" s="7" t="s">
        <v>3242</v>
      </c>
      <c r="BB30" s="7" t="s">
        <v>3254</v>
      </c>
      <c r="BD30" s="7" t="s">
        <v>1665</v>
      </c>
      <c r="BE30" s="7" t="s">
        <v>334</v>
      </c>
      <c r="BH30" s="14"/>
      <c r="BI30" s="7" t="s">
        <v>1358</v>
      </c>
      <c r="BK30" s="7" t="s">
        <v>3265</v>
      </c>
      <c r="BO30" s="7" t="s">
        <v>213</v>
      </c>
      <c r="BX30" s="7" t="s">
        <v>1562</v>
      </c>
    </row>
    <row r="31" spans="1:76" x14ac:dyDescent="0.2">
      <c r="A31" s="6" t="s">
        <v>68</v>
      </c>
      <c r="B31" s="7" t="s">
        <v>1563</v>
      </c>
      <c r="AI31" s="14"/>
      <c r="AJ31" s="14"/>
      <c r="AL31" s="14"/>
    </row>
    <row r="32" spans="1:76" ht="89.25" x14ac:dyDescent="0.2">
      <c r="A32" s="6" t="s">
        <v>11</v>
      </c>
      <c r="B32" s="7" t="s">
        <v>251</v>
      </c>
      <c r="C32" s="7" t="s">
        <v>251</v>
      </c>
      <c r="E32" s="7" t="s">
        <v>1556</v>
      </c>
      <c r="F32" s="7" t="s">
        <v>3029</v>
      </c>
      <c r="H32" s="7" t="s">
        <v>3042</v>
      </c>
      <c r="J32" s="7" t="s">
        <v>3060</v>
      </c>
      <c r="L32" s="7" t="s">
        <v>356</v>
      </c>
      <c r="N32" s="7" t="s">
        <v>251</v>
      </c>
      <c r="O32" s="7" t="s">
        <v>3085</v>
      </c>
      <c r="Q32" s="7" t="s">
        <v>3098</v>
      </c>
      <c r="S32" s="7" t="s">
        <v>1557</v>
      </c>
      <c r="U32" s="7" t="s">
        <v>334</v>
      </c>
      <c r="X32" s="7" t="s">
        <v>3103</v>
      </c>
      <c r="Z32" s="7" t="s">
        <v>3117</v>
      </c>
      <c r="AA32" s="7" t="s">
        <v>3371</v>
      </c>
      <c r="AB32" s="7" t="s">
        <v>331</v>
      </c>
      <c r="AC32" s="7" t="s">
        <v>3121</v>
      </c>
      <c r="AE32" s="7" t="s">
        <v>3126</v>
      </c>
      <c r="AG32" s="7" t="s">
        <v>3186</v>
      </c>
      <c r="AI32" s="14">
        <v>768</v>
      </c>
      <c r="AJ32" s="14"/>
      <c r="AL32" s="14"/>
      <c r="AM32" s="7" t="s">
        <v>251</v>
      </c>
      <c r="AN32" s="7" t="s">
        <v>1558</v>
      </c>
      <c r="AO32" s="7">
        <v>10</v>
      </c>
      <c r="AQ32" s="7" t="s">
        <v>3190</v>
      </c>
      <c r="AS32" s="7" t="s">
        <v>3215</v>
      </c>
      <c r="AU32" s="7" t="s">
        <v>1559</v>
      </c>
      <c r="AW32" s="7" t="s">
        <v>251</v>
      </c>
      <c r="AX32" s="7" t="s">
        <v>251</v>
      </c>
      <c r="AY32" s="7" t="s">
        <v>1560</v>
      </c>
      <c r="AZ32" s="7" t="s">
        <v>3229</v>
      </c>
      <c r="BB32" s="7" t="s">
        <v>3250</v>
      </c>
      <c r="BD32" s="7" t="s">
        <v>1561</v>
      </c>
      <c r="BE32" s="7" t="s">
        <v>334</v>
      </c>
      <c r="BH32" s="14"/>
      <c r="BI32" s="7" t="s">
        <v>3256</v>
      </c>
      <c r="BK32" s="7" t="s">
        <v>3259</v>
      </c>
      <c r="BM32" s="7" t="s">
        <v>213</v>
      </c>
      <c r="BO32" s="7" t="s">
        <v>213</v>
      </c>
      <c r="BP32" s="7" t="s">
        <v>213</v>
      </c>
      <c r="BQ32" s="7" t="s">
        <v>213</v>
      </c>
      <c r="BR32" s="7" t="s">
        <v>213</v>
      </c>
      <c r="BS32" s="7" t="s">
        <v>213</v>
      </c>
      <c r="BU32" s="7" t="s">
        <v>1562</v>
      </c>
      <c r="BX32" s="7" t="s">
        <v>1562</v>
      </c>
    </row>
    <row r="33" spans="1:76" x14ac:dyDescent="0.2">
      <c r="A33" s="6" t="s">
        <v>50</v>
      </c>
      <c r="B33" s="7" t="s">
        <v>1563</v>
      </c>
      <c r="AI33" s="14"/>
      <c r="AJ33" s="14"/>
      <c r="AL33" s="14"/>
      <c r="BH33" s="14"/>
    </row>
    <row r="34" spans="1:76" ht="114.75" x14ac:dyDescent="0.2">
      <c r="A34" s="6" t="s">
        <v>71</v>
      </c>
      <c r="B34" s="7" t="s">
        <v>251</v>
      </c>
      <c r="C34" s="7" t="s">
        <v>251</v>
      </c>
      <c r="E34" s="7" t="s">
        <v>1556</v>
      </c>
      <c r="F34" s="7" t="s">
        <v>3032</v>
      </c>
      <c r="H34" s="7" t="s">
        <v>3055</v>
      </c>
      <c r="J34" s="7" t="s">
        <v>3066</v>
      </c>
      <c r="L34" s="7" t="s">
        <v>3082</v>
      </c>
      <c r="N34" s="7" t="s">
        <v>251</v>
      </c>
      <c r="O34" s="7" t="s">
        <v>3097</v>
      </c>
      <c r="Q34" s="7" t="s">
        <v>3102</v>
      </c>
      <c r="S34" s="7" t="s">
        <v>1557</v>
      </c>
      <c r="U34" s="7" t="s">
        <v>251</v>
      </c>
      <c r="V34" s="7" t="s">
        <v>1595</v>
      </c>
      <c r="X34" s="7" t="s">
        <v>3106</v>
      </c>
      <c r="Z34" s="7" t="s">
        <v>130</v>
      </c>
      <c r="AA34" s="7" t="s">
        <v>1691</v>
      </c>
      <c r="AB34" s="7" t="s">
        <v>331</v>
      </c>
      <c r="AC34" s="7" t="s">
        <v>3121</v>
      </c>
      <c r="AE34" s="7" t="s">
        <v>3147</v>
      </c>
      <c r="AG34" s="7" t="s">
        <v>3185</v>
      </c>
      <c r="AI34" s="14">
        <v>600</v>
      </c>
      <c r="AJ34" s="14"/>
      <c r="AK34" s="7" t="s">
        <v>251</v>
      </c>
      <c r="AL34" s="14">
        <v>600</v>
      </c>
      <c r="AM34" s="7" t="s">
        <v>251</v>
      </c>
      <c r="AN34" s="7" t="s">
        <v>1637</v>
      </c>
      <c r="AP34" s="7">
        <v>6</v>
      </c>
      <c r="AQ34" s="7" t="s">
        <v>3211</v>
      </c>
      <c r="AS34" s="7" t="s">
        <v>3220</v>
      </c>
      <c r="AU34" s="7" t="s">
        <v>1595</v>
      </c>
      <c r="AW34" s="7" t="s">
        <v>251</v>
      </c>
      <c r="AX34" s="7" t="s">
        <v>334</v>
      </c>
      <c r="AZ34" s="7" t="s">
        <v>3248</v>
      </c>
      <c r="BB34" s="7" t="s">
        <v>3251</v>
      </c>
      <c r="BE34" s="7" t="s">
        <v>334</v>
      </c>
      <c r="BI34" s="7" t="s">
        <v>1639</v>
      </c>
      <c r="BK34" s="7" t="s">
        <v>3270</v>
      </c>
      <c r="BN34" s="7" t="s">
        <v>213</v>
      </c>
      <c r="BO34" s="7" t="s">
        <v>213</v>
      </c>
      <c r="BP34" s="7" t="s">
        <v>213</v>
      </c>
      <c r="BR34" s="7" t="s">
        <v>213</v>
      </c>
      <c r="BS34" s="7" t="s">
        <v>213</v>
      </c>
      <c r="BT34" s="7" t="s">
        <v>1619</v>
      </c>
      <c r="BU34" s="7" t="s">
        <v>1562</v>
      </c>
      <c r="BV34" s="7" t="s">
        <v>1562</v>
      </c>
      <c r="BW34" s="7" t="s">
        <v>1562</v>
      </c>
      <c r="BX34" s="7" t="s">
        <v>1562</v>
      </c>
    </row>
    <row r="35" spans="1:76" x14ac:dyDescent="0.2">
      <c r="A35" s="6" t="s">
        <v>65</v>
      </c>
      <c r="B35" s="7" t="s">
        <v>334</v>
      </c>
      <c r="AI35" s="14"/>
      <c r="AJ35" s="14"/>
      <c r="AL35" s="14"/>
    </row>
    <row r="36" spans="1:76" x14ac:dyDescent="0.2">
      <c r="A36" s="6" t="s">
        <v>59</v>
      </c>
      <c r="B36" s="7" t="s">
        <v>1563</v>
      </c>
      <c r="AI36" s="14"/>
      <c r="AJ36" s="14"/>
      <c r="AL36" s="14"/>
      <c r="BH36" s="14"/>
    </row>
    <row r="37" spans="1:76" x14ac:dyDescent="0.2">
      <c r="A37" s="6" t="s">
        <v>36</v>
      </c>
      <c r="B37" s="7" t="s">
        <v>1563</v>
      </c>
      <c r="AI37" s="14"/>
      <c r="AJ37" s="14"/>
      <c r="AL37" s="14"/>
      <c r="BH37" s="14"/>
    </row>
    <row r="38" spans="1:76" x14ac:dyDescent="0.2">
      <c r="A38" s="6" t="s">
        <v>28</v>
      </c>
      <c r="B38" s="7" t="s">
        <v>1563</v>
      </c>
      <c r="AI38" s="14"/>
      <c r="AJ38" s="14"/>
      <c r="AL38" s="14"/>
      <c r="BH38" s="14"/>
    </row>
    <row r="39" spans="1:76" ht="76.5" x14ac:dyDescent="0.2">
      <c r="A39" s="6" t="s">
        <v>52</v>
      </c>
      <c r="B39" s="7" t="s">
        <v>251</v>
      </c>
      <c r="C39" s="7" t="s">
        <v>334</v>
      </c>
      <c r="E39" s="7" t="s">
        <v>1578</v>
      </c>
      <c r="F39" s="7" t="s">
        <v>130</v>
      </c>
      <c r="G39" s="7" t="s">
        <v>1666</v>
      </c>
      <c r="H39" s="7" t="s">
        <v>3056</v>
      </c>
      <c r="I39" s="7" t="s">
        <v>1667</v>
      </c>
      <c r="J39" s="7" t="s">
        <v>3077</v>
      </c>
      <c r="L39" s="7" t="s">
        <v>3083</v>
      </c>
      <c r="N39" s="7" t="s">
        <v>251</v>
      </c>
      <c r="O39" s="7" t="s">
        <v>1668</v>
      </c>
      <c r="Q39" s="7" t="s">
        <v>130</v>
      </c>
      <c r="R39" s="7" t="s">
        <v>1358</v>
      </c>
      <c r="S39" s="7" t="s">
        <v>130</v>
      </c>
      <c r="T39" s="7" t="s">
        <v>1358</v>
      </c>
      <c r="U39" s="7" t="s">
        <v>345</v>
      </c>
      <c r="X39" s="7" t="s">
        <v>1599</v>
      </c>
      <c r="Z39" s="7" t="s">
        <v>1583</v>
      </c>
      <c r="AB39" s="7" t="s">
        <v>331</v>
      </c>
      <c r="AC39" s="7" t="s">
        <v>3122</v>
      </c>
      <c r="AE39" s="7" t="s">
        <v>1661</v>
      </c>
      <c r="AG39" s="7" t="s">
        <v>356</v>
      </c>
      <c r="AI39" s="14"/>
      <c r="AJ39" s="14"/>
      <c r="AL39" s="14"/>
      <c r="AM39" s="7" t="s">
        <v>251</v>
      </c>
      <c r="AN39" s="7" t="s">
        <v>1637</v>
      </c>
      <c r="AP39" s="7">
        <v>10</v>
      </c>
      <c r="AQ39" s="7" t="s">
        <v>3205</v>
      </c>
      <c r="AS39" s="7" t="s">
        <v>3214</v>
      </c>
      <c r="AU39" s="7" t="s">
        <v>1595</v>
      </c>
      <c r="AW39" s="7" t="s">
        <v>334</v>
      </c>
      <c r="AX39" s="7" t="s">
        <v>345</v>
      </c>
      <c r="AZ39" s="7" t="s">
        <v>1669</v>
      </c>
      <c r="BB39" s="7" t="s">
        <v>1596</v>
      </c>
      <c r="BE39" s="7" t="s">
        <v>334</v>
      </c>
      <c r="BH39" s="14"/>
      <c r="BI39" s="7" t="s">
        <v>1358</v>
      </c>
      <c r="BK39" s="7" t="s">
        <v>1587</v>
      </c>
      <c r="BW39" s="7" t="s">
        <v>1562</v>
      </c>
    </row>
    <row r="40" spans="1:76" ht="63.75" x14ac:dyDescent="0.2">
      <c r="A40" s="6" t="s">
        <v>19</v>
      </c>
      <c r="B40" s="7" t="s">
        <v>251</v>
      </c>
      <c r="C40" s="7" t="s">
        <v>251</v>
      </c>
      <c r="E40" s="7" t="s">
        <v>1556</v>
      </c>
      <c r="F40" s="7" t="s">
        <v>3029</v>
      </c>
      <c r="H40" s="7" t="s">
        <v>3046</v>
      </c>
      <c r="J40" s="7" t="s">
        <v>1580</v>
      </c>
      <c r="L40" s="7" t="s">
        <v>3082</v>
      </c>
      <c r="N40" s="7" t="s">
        <v>334</v>
      </c>
      <c r="S40" s="7" t="s">
        <v>1588</v>
      </c>
      <c r="U40" s="7" t="s">
        <v>251</v>
      </c>
      <c r="V40" s="7" t="s">
        <v>130</v>
      </c>
      <c r="W40" s="7" t="s">
        <v>1589</v>
      </c>
      <c r="X40" s="7" t="s">
        <v>3105</v>
      </c>
      <c r="Z40" s="7" t="s">
        <v>1560</v>
      </c>
      <c r="AB40" s="7" t="s">
        <v>331</v>
      </c>
      <c r="AC40" s="7" t="s">
        <v>3122</v>
      </c>
      <c r="AE40" s="7" t="s">
        <v>3149</v>
      </c>
      <c r="AG40" s="7" t="s">
        <v>3160</v>
      </c>
      <c r="AI40" s="14">
        <v>75</v>
      </c>
      <c r="AJ40" s="14"/>
      <c r="AL40" s="14"/>
      <c r="AM40" s="7" t="s">
        <v>251</v>
      </c>
      <c r="AN40" s="7" t="s">
        <v>1558</v>
      </c>
      <c r="AO40" s="7">
        <v>5</v>
      </c>
      <c r="AQ40" s="7" t="s">
        <v>3193</v>
      </c>
      <c r="AS40" s="7" t="s">
        <v>3213</v>
      </c>
      <c r="AU40" s="7" t="s">
        <v>130</v>
      </c>
      <c r="AV40" s="7" t="s">
        <v>1590</v>
      </c>
      <c r="AX40" s="7" t="s">
        <v>251</v>
      </c>
      <c r="AY40" s="7" t="s">
        <v>1591</v>
      </c>
      <c r="AZ40" s="7" t="s">
        <v>1586</v>
      </c>
      <c r="BD40" s="7" t="s">
        <v>1592</v>
      </c>
      <c r="BE40" s="7" t="s">
        <v>334</v>
      </c>
      <c r="BH40" s="14"/>
      <c r="BI40" s="7" t="s">
        <v>1358</v>
      </c>
      <c r="BK40" s="7" t="s">
        <v>1587</v>
      </c>
      <c r="BO40" s="7" t="s">
        <v>213</v>
      </c>
      <c r="BW40" s="7" t="s">
        <v>1562</v>
      </c>
      <c r="BX40" s="7" t="s">
        <v>1562</v>
      </c>
    </row>
    <row r="41" spans="1:76" x14ac:dyDescent="0.2">
      <c r="A41" s="6" t="s">
        <v>51</v>
      </c>
      <c r="B41" s="7" t="s">
        <v>334</v>
      </c>
      <c r="AI41" s="14"/>
      <c r="AJ41" s="14"/>
      <c r="AL41" s="14"/>
      <c r="BH41" s="14"/>
    </row>
    <row r="42" spans="1:76" ht="63.75" x14ac:dyDescent="0.2">
      <c r="A42" s="6" t="s">
        <v>47</v>
      </c>
      <c r="B42" s="7" t="s">
        <v>251</v>
      </c>
      <c r="C42" s="7" t="s">
        <v>251</v>
      </c>
      <c r="E42" s="7" t="s">
        <v>1556</v>
      </c>
      <c r="F42" s="7" t="s">
        <v>1579</v>
      </c>
      <c r="H42" s="7" t="s">
        <v>3040</v>
      </c>
      <c r="J42" s="7" t="s">
        <v>3075</v>
      </c>
      <c r="L42" s="7" t="s">
        <v>3082</v>
      </c>
      <c r="N42" s="7" t="s">
        <v>251</v>
      </c>
      <c r="O42" s="7" t="s">
        <v>3093</v>
      </c>
      <c r="Q42" s="7" t="s">
        <v>3100</v>
      </c>
      <c r="S42" s="7" t="s">
        <v>1607</v>
      </c>
      <c r="U42" s="7" t="s">
        <v>334</v>
      </c>
      <c r="X42" s="7" t="s">
        <v>356</v>
      </c>
      <c r="AB42" s="7" t="s">
        <v>404</v>
      </c>
      <c r="AE42" s="7" t="s">
        <v>1661</v>
      </c>
      <c r="AG42" s="7" t="s">
        <v>3174</v>
      </c>
      <c r="AI42" s="14">
        <v>450</v>
      </c>
      <c r="AJ42" s="14"/>
      <c r="AL42" s="14"/>
      <c r="AM42" s="7" t="s">
        <v>251</v>
      </c>
      <c r="AN42" s="7" t="s">
        <v>1558</v>
      </c>
      <c r="AO42" s="7">
        <v>6</v>
      </c>
      <c r="AQ42" s="7" t="s">
        <v>3204</v>
      </c>
      <c r="AS42" s="7" t="s">
        <v>3227</v>
      </c>
      <c r="AU42" s="7" t="s">
        <v>130</v>
      </c>
      <c r="AV42" s="7" t="s">
        <v>1662</v>
      </c>
      <c r="AX42" s="7" t="s">
        <v>345</v>
      </c>
      <c r="AZ42" s="7" t="s">
        <v>1586</v>
      </c>
      <c r="BE42" s="7" t="s">
        <v>334</v>
      </c>
      <c r="BH42" s="14"/>
      <c r="BI42" s="7" t="s">
        <v>1358</v>
      </c>
      <c r="BK42" s="7" t="s">
        <v>3270</v>
      </c>
    </row>
    <row r="43" spans="1:76" ht="63.75" x14ac:dyDescent="0.2">
      <c r="A43" s="6" t="s">
        <v>56</v>
      </c>
      <c r="B43" s="7" t="s">
        <v>251</v>
      </c>
      <c r="C43" s="7" t="s">
        <v>251</v>
      </c>
      <c r="E43" s="7" t="s">
        <v>1578</v>
      </c>
      <c r="F43" s="7" t="s">
        <v>3035</v>
      </c>
      <c r="H43" s="7" t="s">
        <v>3041</v>
      </c>
      <c r="J43" s="7" t="s">
        <v>3078</v>
      </c>
      <c r="L43" s="7" t="s">
        <v>3082</v>
      </c>
      <c r="N43" s="7" t="s">
        <v>334</v>
      </c>
      <c r="S43" s="7" t="s">
        <v>130</v>
      </c>
      <c r="T43" s="7" t="s">
        <v>1671</v>
      </c>
      <c r="U43" s="7" t="s">
        <v>334</v>
      </c>
      <c r="X43" s="7" t="s">
        <v>3107</v>
      </c>
      <c r="Z43" s="7" t="s">
        <v>3120</v>
      </c>
      <c r="AA43" s="7" t="s">
        <v>1672</v>
      </c>
      <c r="AB43" s="7" t="s">
        <v>331</v>
      </c>
      <c r="AC43" s="7" t="s">
        <v>3123</v>
      </c>
      <c r="AE43" s="7" t="s">
        <v>3140</v>
      </c>
      <c r="AG43" s="7" t="s">
        <v>3177</v>
      </c>
      <c r="AI43" s="14">
        <v>1200</v>
      </c>
      <c r="AJ43" s="14"/>
      <c r="AL43" s="14"/>
      <c r="AM43" s="7" t="s">
        <v>251</v>
      </c>
      <c r="AN43" s="7" t="s">
        <v>1637</v>
      </c>
      <c r="AP43" s="7">
        <v>12</v>
      </c>
      <c r="AQ43" s="7" t="s">
        <v>3206</v>
      </c>
      <c r="AS43" s="7" t="s">
        <v>3227</v>
      </c>
      <c r="AU43" s="7" t="s">
        <v>130</v>
      </c>
      <c r="AV43" s="7" t="s">
        <v>1670</v>
      </c>
      <c r="AW43" s="7" t="s">
        <v>334</v>
      </c>
      <c r="AX43" s="7" t="s">
        <v>251</v>
      </c>
      <c r="AY43" s="7" t="s">
        <v>3372</v>
      </c>
      <c r="AZ43" s="7" t="s">
        <v>3243</v>
      </c>
      <c r="BB43" s="7" t="s">
        <v>3250</v>
      </c>
      <c r="BD43" s="7" t="s">
        <v>1673</v>
      </c>
      <c r="BE43" s="7" t="s">
        <v>334</v>
      </c>
      <c r="BH43" s="14"/>
      <c r="BI43" s="7" t="s">
        <v>1358</v>
      </c>
      <c r="BK43" s="7" t="s">
        <v>3261</v>
      </c>
      <c r="BO43" s="7" t="s">
        <v>1604</v>
      </c>
      <c r="BQ43" s="7" t="s">
        <v>1619</v>
      </c>
      <c r="BU43" s="7" t="s">
        <v>1562</v>
      </c>
      <c r="BW43" s="7" t="s">
        <v>1562</v>
      </c>
      <c r="BX43" s="7" t="s">
        <v>1562</v>
      </c>
    </row>
    <row r="44" spans="1:76" ht="76.5" x14ac:dyDescent="0.2">
      <c r="A44" s="6" t="s">
        <v>62</v>
      </c>
      <c r="B44" s="7" t="s">
        <v>251</v>
      </c>
      <c r="C44" s="7" t="s">
        <v>251</v>
      </c>
      <c r="E44" s="7" t="s">
        <v>1578</v>
      </c>
      <c r="F44" s="7" t="s">
        <v>3029</v>
      </c>
      <c r="H44" s="7" t="s">
        <v>3057</v>
      </c>
      <c r="J44" s="7" t="s">
        <v>3072</v>
      </c>
      <c r="L44" s="7" t="s">
        <v>3082</v>
      </c>
      <c r="N44" s="7" t="s">
        <v>345</v>
      </c>
      <c r="S44" s="7" t="s">
        <v>1557</v>
      </c>
      <c r="U44" s="7" t="s">
        <v>345</v>
      </c>
      <c r="X44" s="7" t="s">
        <v>3106</v>
      </c>
      <c r="Z44" s="7" t="s">
        <v>3116</v>
      </c>
      <c r="AB44" s="7" t="s">
        <v>331</v>
      </c>
      <c r="AC44" s="7" t="s">
        <v>3123</v>
      </c>
      <c r="AE44" s="7" t="s">
        <v>3143</v>
      </c>
      <c r="AG44" s="7" t="s">
        <v>3181</v>
      </c>
      <c r="AI44" s="14">
        <v>150</v>
      </c>
      <c r="AJ44" s="14">
        <v>150</v>
      </c>
      <c r="AK44" s="7" t="s">
        <v>334</v>
      </c>
      <c r="AL44" s="14"/>
      <c r="AM44" s="7" t="s">
        <v>251</v>
      </c>
      <c r="AN44" s="7" t="s">
        <v>1637</v>
      </c>
      <c r="AP44" s="7">
        <v>2</v>
      </c>
      <c r="AQ44" s="7" t="s">
        <v>3191</v>
      </c>
      <c r="AS44" s="7" t="s">
        <v>3228</v>
      </c>
      <c r="AU44" s="7" t="s">
        <v>1659</v>
      </c>
      <c r="AX44" s="7" t="s">
        <v>251</v>
      </c>
      <c r="AY44" s="7" t="s">
        <v>1679</v>
      </c>
      <c r="AZ44" s="7" t="s">
        <v>3246</v>
      </c>
      <c r="BB44" s="7" t="s">
        <v>3255</v>
      </c>
      <c r="BE44" s="7" t="s">
        <v>334</v>
      </c>
      <c r="BH44" s="14"/>
      <c r="BI44" s="7" t="s">
        <v>1358</v>
      </c>
      <c r="BK44" s="7" t="s">
        <v>1680</v>
      </c>
    </row>
    <row r="45" spans="1:76" ht="63.75" x14ac:dyDescent="0.2">
      <c r="A45" s="6" t="s">
        <v>21</v>
      </c>
      <c r="B45" s="7" t="s">
        <v>251</v>
      </c>
      <c r="C45" s="7" t="s">
        <v>251</v>
      </c>
      <c r="E45" s="7" t="s">
        <v>1578</v>
      </c>
      <c r="F45" s="7" t="s">
        <v>3032</v>
      </c>
      <c r="H45" s="7" t="s">
        <v>3047</v>
      </c>
      <c r="J45" s="7" t="s">
        <v>3062</v>
      </c>
      <c r="L45" s="7" t="s">
        <v>3082</v>
      </c>
      <c r="N45" s="7" t="s">
        <v>334</v>
      </c>
      <c r="S45" s="7" t="s">
        <v>1557</v>
      </c>
      <c r="U45" s="7" t="s">
        <v>334</v>
      </c>
      <c r="X45" s="7" t="s">
        <v>1599</v>
      </c>
      <c r="Z45" s="7" t="s">
        <v>130</v>
      </c>
      <c r="AA45" s="7" t="s">
        <v>1600</v>
      </c>
      <c r="AB45" s="7" t="s">
        <v>331</v>
      </c>
      <c r="AC45" s="7" t="s">
        <v>3125</v>
      </c>
      <c r="AD45" s="7" t="s">
        <v>1601</v>
      </c>
      <c r="AE45" s="7" t="s">
        <v>3129</v>
      </c>
      <c r="AG45" s="7" t="s">
        <v>3161</v>
      </c>
      <c r="AI45" s="14"/>
      <c r="AJ45" s="14">
        <v>1200</v>
      </c>
      <c r="AL45" s="14"/>
      <c r="AM45" s="7" t="s">
        <v>251</v>
      </c>
      <c r="AN45" s="7" t="s">
        <v>1558</v>
      </c>
      <c r="AO45" s="7">
        <v>10</v>
      </c>
      <c r="AQ45" s="7" t="s">
        <v>3194</v>
      </c>
      <c r="AS45" s="7" t="s">
        <v>3218</v>
      </c>
      <c r="AU45" s="7" t="s">
        <v>1559</v>
      </c>
      <c r="AW45" s="7" t="s">
        <v>251</v>
      </c>
      <c r="AX45" s="7" t="s">
        <v>334</v>
      </c>
      <c r="AZ45" s="7" t="s">
        <v>3232</v>
      </c>
      <c r="BB45" s="7" t="s">
        <v>1567</v>
      </c>
      <c r="BD45" s="7" t="s">
        <v>1602</v>
      </c>
      <c r="BE45" s="7" t="s">
        <v>334</v>
      </c>
      <c r="BH45" s="14"/>
      <c r="BI45" s="7" t="s">
        <v>1358</v>
      </c>
      <c r="BK45" s="7" t="s">
        <v>3261</v>
      </c>
      <c r="BO45" s="7" t="s">
        <v>1603</v>
      </c>
      <c r="BP45" s="7" t="s">
        <v>1604</v>
      </c>
      <c r="BW45" s="7" t="s">
        <v>1604</v>
      </c>
    </row>
    <row r="46" spans="1:76" x14ac:dyDescent="0.2">
      <c r="A46" s="6" t="s">
        <v>12</v>
      </c>
      <c r="B46" s="7" t="s">
        <v>345</v>
      </c>
      <c r="AI46" s="14"/>
      <c r="AJ46" s="14"/>
      <c r="AL46" s="14"/>
      <c r="BH46" s="14"/>
    </row>
    <row r="47" spans="1:76" x14ac:dyDescent="0.2">
      <c r="A47" s="6" t="s">
        <v>64</v>
      </c>
      <c r="B47" s="7" t="s">
        <v>334</v>
      </c>
      <c r="AI47" s="14"/>
      <c r="AJ47" s="14"/>
      <c r="AL47" s="14"/>
    </row>
    <row r="48" spans="1:76" ht="76.5" x14ac:dyDescent="0.2">
      <c r="A48" s="6" t="s">
        <v>38</v>
      </c>
      <c r="B48" s="7" t="s">
        <v>251</v>
      </c>
      <c r="C48" s="7" t="s">
        <v>251</v>
      </c>
      <c r="E48" s="7" t="s">
        <v>1578</v>
      </c>
      <c r="F48" s="7" t="s">
        <v>1579</v>
      </c>
      <c r="H48" s="7" t="s">
        <v>3054</v>
      </c>
      <c r="J48" s="7" t="s">
        <v>3072</v>
      </c>
      <c r="L48" s="7" t="s">
        <v>3082</v>
      </c>
      <c r="N48" s="7" t="s">
        <v>334</v>
      </c>
      <c r="S48" s="7" t="s">
        <v>1557</v>
      </c>
      <c r="U48" s="7" t="s">
        <v>334</v>
      </c>
      <c r="X48" s="7" t="s">
        <v>1635</v>
      </c>
      <c r="Z48" s="7" t="s">
        <v>1565</v>
      </c>
      <c r="AB48" s="7" t="s">
        <v>404</v>
      </c>
      <c r="AE48" s="7" t="s">
        <v>3136</v>
      </c>
      <c r="AG48" s="7" t="s">
        <v>356</v>
      </c>
      <c r="AI48" s="14"/>
      <c r="AJ48" s="14"/>
      <c r="AL48" s="14"/>
      <c r="AM48" s="7" t="s">
        <v>251</v>
      </c>
      <c r="AN48" s="7" t="s">
        <v>1371</v>
      </c>
      <c r="AQ48" s="7" t="s">
        <v>3191</v>
      </c>
      <c r="AS48" s="7" t="s">
        <v>3218</v>
      </c>
      <c r="AU48" s="7" t="s">
        <v>1565</v>
      </c>
      <c r="AX48" s="7" t="s">
        <v>334</v>
      </c>
      <c r="AZ48" s="7" t="s">
        <v>1651</v>
      </c>
      <c r="BB48" s="7" t="s">
        <v>3252</v>
      </c>
      <c r="BE48" s="7" t="s">
        <v>334</v>
      </c>
      <c r="BH48" s="14"/>
      <c r="BI48" s="7" t="s">
        <v>1358</v>
      </c>
      <c r="BK48" s="7" t="s">
        <v>3269</v>
      </c>
      <c r="BX48" s="7" t="s">
        <v>1619</v>
      </c>
    </row>
    <row r="49" spans="1:76" x14ac:dyDescent="0.2">
      <c r="A49" s="6" t="s">
        <v>41</v>
      </c>
      <c r="B49" s="7" t="s">
        <v>334</v>
      </c>
      <c r="AI49" s="14"/>
      <c r="AJ49" s="14"/>
      <c r="AL49" s="14"/>
      <c r="BH49" s="14"/>
    </row>
    <row r="50" spans="1:76" ht="63.75" x14ac:dyDescent="0.2">
      <c r="A50" s="6" t="s">
        <v>29</v>
      </c>
      <c r="B50" s="7" t="s">
        <v>251</v>
      </c>
      <c r="C50" s="7" t="s">
        <v>334</v>
      </c>
      <c r="E50" s="7" t="s">
        <v>1578</v>
      </c>
      <c r="F50" s="7" t="s">
        <v>3029</v>
      </c>
      <c r="H50" s="7" t="s">
        <v>3046</v>
      </c>
      <c r="J50" s="7" t="s">
        <v>3067</v>
      </c>
      <c r="L50" s="7" t="s">
        <v>3082</v>
      </c>
      <c r="N50" s="7" t="s">
        <v>334</v>
      </c>
      <c r="S50" s="7" t="s">
        <v>1557</v>
      </c>
      <c r="U50" s="7" t="s">
        <v>251</v>
      </c>
      <c r="V50" s="7" t="s">
        <v>130</v>
      </c>
      <c r="W50" s="7" t="s">
        <v>1634</v>
      </c>
      <c r="X50" s="7" t="s">
        <v>1635</v>
      </c>
      <c r="Z50" s="7" t="s">
        <v>130</v>
      </c>
      <c r="AA50" s="7" t="s">
        <v>1636</v>
      </c>
      <c r="AB50" s="7" t="s">
        <v>331</v>
      </c>
      <c r="AC50" s="7" t="s">
        <v>3123</v>
      </c>
      <c r="AE50" s="7" t="s">
        <v>3151</v>
      </c>
      <c r="AG50" s="7" t="s">
        <v>3167</v>
      </c>
      <c r="AI50" s="14">
        <v>600</v>
      </c>
      <c r="AJ50" s="14"/>
      <c r="AL50" s="14"/>
      <c r="AM50" s="7" t="s">
        <v>251</v>
      </c>
      <c r="AN50" s="7" t="s">
        <v>1637</v>
      </c>
      <c r="AP50" s="7">
        <v>18</v>
      </c>
      <c r="AQ50" s="7" t="s">
        <v>3200</v>
      </c>
      <c r="AS50" s="7" t="s">
        <v>3215</v>
      </c>
      <c r="AU50" s="7" t="s">
        <v>130</v>
      </c>
      <c r="AV50" s="7" t="s">
        <v>1638</v>
      </c>
      <c r="AX50" s="7" t="s">
        <v>345</v>
      </c>
      <c r="AZ50" s="7" t="s">
        <v>3236</v>
      </c>
      <c r="BB50" s="7" t="s">
        <v>3254</v>
      </c>
      <c r="BE50" s="7" t="s">
        <v>334</v>
      </c>
      <c r="BH50" s="14"/>
      <c r="BI50" s="7" t="s">
        <v>1358</v>
      </c>
      <c r="BK50" s="7" t="s">
        <v>3265</v>
      </c>
      <c r="BO50" s="7" t="s">
        <v>213</v>
      </c>
      <c r="BP50" s="7" t="s">
        <v>213</v>
      </c>
      <c r="BQ50" s="7" t="s">
        <v>213</v>
      </c>
      <c r="BX50" s="7" t="s">
        <v>1562</v>
      </c>
    </row>
    <row r="51" spans="1:76" ht="76.5" x14ac:dyDescent="0.2">
      <c r="A51" s="6" t="s">
        <v>17</v>
      </c>
      <c r="B51" s="7" t="s">
        <v>251</v>
      </c>
      <c r="C51" s="7" t="s">
        <v>251</v>
      </c>
      <c r="E51" s="7" t="s">
        <v>1556</v>
      </c>
      <c r="F51" s="7" t="s">
        <v>3031</v>
      </c>
      <c r="H51" s="7" t="s">
        <v>3044</v>
      </c>
      <c r="J51" s="7" t="s">
        <v>1568</v>
      </c>
      <c r="L51" s="7" t="s">
        <v>3082</v>
      </c>
      <c r="N51" s="7" t="s">
        <v>251</v>
      </c>
      <c r="O51" s="7" t="s">
        <v>1569</v>
      </c>
      <c r="Q51" s="7" t="s">
        <v>1557</v>
      </c>
      <c r="S51" s="7" t="s">
        <v>1557</v>
      </c>
      <c r="U51" s="7" t="s">
        <v>251</v>
      </c>
      <c r="V51" s="7" t="s">
        <v>1559</v>
      </c>
      <c r="X51" s="7" t="s">
        <v>3104</v>
      </c>
      <c r="Z51" s="7" t="s">
        <v>130</v>
      </c>
      <c r="AA51" s="7" t="s">
        <v>1570</v>
      </c>
      <c r="AB51" s="7" t="s">
        <v>404</v>
      </c>
      <c r="AE51" s="7" t="s">
        <v>3127</v>
      </c>
      <c r="AG51" s="7" t="s">
        <v>3187</v>
      </c>
      <c r="AI51" s="14"/>
      <c r="AJ51" s="14"/>
      <c r="AK51" s="7" t="s">
        <v>251</v>
      </c>
      <c r="AL51" s="14">
        <v>300</v>
      </c>
      <c r="AM51" s="7" t="s">
        <v>251</v>
      </c>
      <c r="AN51" s="7" t="s">
        <v>1558</v>
      </c>
      <c r="AO51" s="7">
        <v>15</v>
      </c>
      <c r="AQ51" s="7" t="s">
        <v>3210</v>
      </c>
      <c r="AR51" s="7" t="s">
        <v>1571</v>
      </c>
      <c r="AS51" s="7" t="s">
        <v>3216</v>
      </c>
      <c r="AT51" s="7" t="s">
        <v>1572</v>
      </c>
      <c r="AU51" s="7" t="s">
        <v>1559</v>
      </c>
      <c r="AW51" s="7" t="s">
        <v>251</v>
      </c>
      <c r="AX51" s="7" t="s">
        <v>251</v>
      </c>
      <c r="AY51" s="7" t="s">
        <v>1573</v>
      </c>
      <c r="AZ51" s="7" t="s">
        <v>3249</v>
      </c>
      <c r="BA51" s="7" t="s">
        <v>1574</v>
      </c>
      <c r="BB51" s="7" t="s">
        <v>3250</v>
      </c>
      <c r="BD51" s="7" t="s">
        <v>1575</v>
      </c>
      <c r="BE51" s="7" t="s">
        <v>334</v>
      </c>
      <c r="BH51" s="14"/>
      <c r="BI51" s="7" t="s">
        <v>130</v>
      </c>
      <c r="BJ51" s="7" t="s">
        <v>1576</v>
      </c>
      <c r="BK51" s="7" t="s">
        <v>3260</v>
      </c>
      <c r="BP51" s="7" t="s">
        <v>213</v>
      </c>
      <c r="BQ51" s="7" t="s">
        <v>1577</v>
      </c>
      <c r="BR51" s="7" t="s">
        <v>213</v>
      </c>
      <c r="BS51" s="7" t="s">
        <v>213</v>
      </c>
      <c r="BU51" s="7" t="s">
        <v>1562</v>
      </c>
      <c r="BV51" s="7" t="s">
        <v>1562</v>
      </c>
      <c r="BW51" s="7" t="s">
        <v>1562</v>
      </c>
      <c r="BX51" s="7" t="s">
        <v>1562</v>
      </c>
    </row>
    <row r="52" spans="1:76" ht="63.75" x14ac:dyDescent="0.2">
      <c r="A52" s="6" t="s">
        <v>22</v>
      </c>
      <c r="B52" s="7" t="s">
        <v>251</v>
      </c>
      <c r="C52" s="7" t="s">
        <v>334</v>
      </c>
      <c r="E52" s="7" t="s">
        <v>1578</v>
      </c>
      <c r="F52" s="7" t="s">
        <v>1579</v>
      </c>
      <c r="H52" s="7" t="s">
        <v>130</v>
      </c>
      <c r="I52" s="7" t="s">
        <v>1605</v>
      </c>
      <c r="J52" s="7" t="s">
        <v>1606</v>
      </c>
      <c r="L52" s="7" t="s">
        <v>356</v>
      </c>
      <c r="N52" s="7" t="s">
        <v>334</v>
      </c>
      <c r="S52" s="7" t="s">
        <v>1607</v>
      </c>
      <c r="U52" s="7" t="s">
        <v>334</v>
      </c>
      <c r="X52" s="7" t="s">
        <v>356</v>
      </c>
      <c r="AB52" s="7" t="s">
        <v>404</v>
      </c>
      <c r="AE52" s="7" t="s">
        <v>3130</v>
      </c>
      <c r="AG52" s="7" t="s">
        <v>3162</v>
      </c>
      <c r="AI52" s="14"/>
      <c r="AJ52" s="14"/>
      <c r="AL52" s="14"/>
      <c r="AM52" s="7" t="s">
        <v>251</v>
      </c>
      <c r="AN52" s="7" t="s">
        <v>1558</v>
      </c>
      <c r="AO52" s="7">
        <v>5</v>
      </c>
      <c r="AQ52" s="7" t="s">
        <v>3195</v>
      </c>
      <c r="AS52" s="7" t="s">
        <v>3219</v>
      </c>
      <c r="AU52" s="7" t="s">
        <v>1595</v>
      </c>
      <c r="AX52" s="7" t="s">
        <v>334</v>
      </c>
      <c r="AZ52" s="7" t="s">
        <v>1586</v>
      </c>
      <c r="BE52" s="7" t="s">
        <v>251</v>
      </c>
      <c r="BF52" s="7" t="s">
        <v>334</v>
      </c>
      <c r="BH52" s="14">
        <v>300</v>
      </c>
      <c r="BI52" s="7" t="s">
        <v>1358</v>
      </c>
      <c r="BK52" s="7" t="s">
        <v>1587</v>
      </c>
      <c r="BQ52" s="7" t="s">
        <v>213</v>
      </c>
    </row>
    <row r="53" spans="1:76" x14ac:dyDescent="0.2">
      <c r="A53" s="6" t="s">
        <v>53</v>
      </c>
      <c r="B53" s="7" t="s">
        <v>1563</v>
      </c>
      <c r="AI53" s="14"/>
      <c r="AJ53" s="14"/>
      <c r="AL53" s="14"/>
      <c r="BH53" s="14"/>
    </row>
    <row r="54" spans="1:76" x14ac:dyDescent="0.2">
      <c r="A54" s="6" t="s">
        <v>43</v>
      </c>
      <c r="B54" s="7" t="s">
        <v>334</v>
      </c>
      <c r="AI54" s="14"/>
      <c r="AJ54" s="14"/>
      <c r="AL54" s="14"/>
      <c r="BH54" s="14"/>
    </row>
    <row r="55" spans="1:76" ht="63.75" x14ac:dyDescent="0.2">
      <c r="A55" s="6" t="s">
        <v>61</v>
      </c>
      <c r="B55" s="7" t="s">
        <v>251</v>
      </c>
      <c r="C55" s="7" t="s">
        <v>251</v>
      </c>
      <c r="E55" s="7" t="s">
        <v>1578</v>
      </c>
      <c r="F55" s="7" t="s">
        <v>1579</v>
      </c>
      <c r="H55" s="7" t="s">
        <v>1678</v>
      </c>
      <c r="J55" s="7" t="s">
        <v>3066</v>
      </c>
      <c r="L55" s="7" t="s">
        <v>356</v>
      </c>
      <c r="N55" s="7" t="s">
        <v>334</v>
      </c>
      <c r="S55" s="7" t="s">
        <v>1557</v>
      </c>
      <c r="U55" s="7" t="s">
        <v>251</v>
      </c>
      <c r="V55" s="7" t="s">
        <v>130</v>
      </c>
      <c r="W55" s="7" t="s">
        <v>1589</v>
      </c>
      <c r="X55" s="7" t="s">
        <v>1635</v>
      </c>
      <c r="Z55" s="7" t="s">
        <v>130</v>
      </c>
      <c r="AA55" s="7" t="s">
        <v>1589</v>
      </c>
      <c r="AB55" s="7" t="s">
        <v>404</v>
      </c>
      <c r="AE55" s="7" t="s">
        <v>3157</v>
      </c>
      <c r="AG55" s="7" t="s">
        <v>3180</v>
      </c>
      <c r="AI55" s="14">
        <v>3930</v>
      </c>
      <c r="AJ55" s="14"/>
      <c r="AL55" s="14"/>
      <c r="AM55" s="7" t="s">
        <v>251</v>
      </c>
      <c r="AN55" s="7" t="s">
        <v>1558</v>
      </c>
      <c r="AO55" s="7">
        <v>8</v>
      </c>
      <c r="AQ55" s="7" t="s">
        <v>3208</v>
      </c>
      <c r="AS55" s="7" t="s">
        <v>3220</v>
      </c>
      <c r="AU55" s="7" t="s">
        <v>1584</v>
      </c>
      <c r="AW55" s="7" t="s">
        <v>251</v>
      </c>
      <c r="AX55" s="7" t="s">
        <v>251</v>
      </c>
      <c r="AY55" s="7" t="s">
        <v>1634</v>
      </c>
      <c r="AZ55" s="7" t="s">
        <v>3245</v>
      </c>
      <c r="BB55" s="7" t="s">
        <v>3253</v>
      </c>
      <c r="BE55" s="7" t="s">
        <v>334</v>
      </c>
      <c r="BH55" s="14"/>
      <c r="BI55" s="7" t="s">
        <v>1358</v>
      </c>
      <c r="BK55" s="7" t="s">
        <v>3270</v>
      </c>
      <c r="BP55" s="7" t="s">
        <v>213</v>
      </c>
      <c r="BX55" s="7" t="s">
        <v>1577</v>
      </c>
    </row>
    <row r="56" spans="1:76" x14ac:dyDescent="0.2">
      <c r="A56" s="6" t="s">
        <v>72</v>
      </c>
      <c r="B56" s="7" t="s">
        <v>1563</v>
      </c>
    </row>
    <row r="57" spans="1:76" x14ac:dyDescent="0.2">
      <c r="A57" s="6" t="s">
        <v>16</v>
      </c>
      <c r="B57" s="7" t="s">
        <v>334</v>
      </c>
      <c r="AI57" s="14"/>
      <c r="AJ57" s="14"/>
      <c r="AL57" s="14"/>
      <c r="BH57" s="14"/>
    </row>
    <row r="58" spans="1:76" x14ac:dyDescent="0.2">
      <c r="A58" s="6" t="s">
        <v>32</v>
      </c>
      <c r="B58" s="7" t="s">
        <v>334</v>
      </c>
      <c r="AI58" s="14"/>
      <c r="AJ58" s="14"/>
      <c r="AL58" s="14"/>
      <c r="BH58" s="14"/>
    </row>
    <row r="59" spans="1:76" ht="76.5" x14ac:dyDescent="0.2">
      <c r="A59" s="6" t="s">
        <v>60</v>
      </c>
      <c r="B59" s="7" t="s">
        <v>251</v>
      </c>
      <c r="C59" s="7" t="s">
        <v>251</v>
      </c>
      <c r="E59" s="7" t="s">
        <v>1578</v>
      </c>
      <c r="F59" s="7" t="s">
        <v>3036</v>
      </c>
      <c r="H59" s="7" t="s">
        <v>3046</v>
      </c>
      <c r="J59" s="7" t="s">
        <v>3074</v>
      </c>
      <c r="L59" s="7" t="s">
        <v>3082</v>
      </c>
      <c r="N59" s="7" t="s">
        <v>251</v>
      </c>
      <c r="O59" s="7" t="s">
        <v>3095</v>
      </c>
      <c r="S59" s="7" t="s">
        <v>1557</v>
      </c>
      <c r="U59" s="7" t="s">
        <v>251</v>
      </c>
      <c r="V59" s="7" t="s">
        <v>130</v>
      </c>
      <c r="W59" s="7" t="s">
        <v>1677</v>
      </c>
      <c r="X59" s="7" t="s">
        <v>1635</v>
      </c>
      <c r="Z59" s="7" t="s">
        <v>1583</v>
      </c>
      <c r="AB59" s="7" t="s">
        <v>331</v>
      </c>
      <c r="AC59" s="7" t="s">
        <v>3123</v>
      </c>
      <c r="AE59" s="7" t="s">
        <v>3142</v>
      </c>
      <c r="AG59" s="7" t="s">
        <v>3179</v>
      </c>
      <c r="AI59" s="14"/>
      <c r="AJ59" s="14"/>
      <c r="AL59" s="14"/>
      <c r="AM59" s="7" t="s">
        <v>251</v>
      </c>
      <c r="AN59" s="7" t="s">
        <v>1637</v>
      </c>
      <c r="AP59" s="7">
        <v>10</v>
      </c>
      <c r="AQ59" s="7" t="s">
        <v>3191</v>
      </c>
      <c r="AS59" s="7" t="s">
        <v>3215</v>
      </c>
      <c r="AU59" s="7" t="s">
        <v>130</v>
      </c>
      <c r="AV59" s="7" t="s">
        <v>1677</v>
      </c>
      <c r="AW59" s="7" t="s">
        <v>251</v>
      </c>
      <c r="AX59" s="7" t="s">
        <v>251</v>
      </c>
      <c r="AY59" s="7" t="s">
        <v>3353</v>
      </c>
      <c r="AZ59" s="7" t="s">
        <v>1586</v>
      </c>
      <c r="BE59" s="7" t="s">
        <v>334</v>
      </c>
      <c r="BH59" s="14"/>
      <c r="BI59" s="7" t="s">
        <v>1358</v>
      </c>
      <c r="BK59" s="7" t="s">
        <v>3272</v>
      </c>
      <c r="BO59" s="7" t="s">
        <v>213</v>
      </c>
      <c r="BX59" s="7" t="s">
        <v>1562</v>
      </c>
    </row>
    <row r="60" spans="1:76" ht="102" x14ac:dyDescent="0.2">
      <c r="A60" s="6" t="s">
        <v>39</v>
      </c>
      <c r="B60" s="7" t="s">
        <v>251</v>
      </c>
      <c r="C60" s="7" t="s">
        <v>251</v>
      </c>
      <c r="E60" s="7" t="s">
        <v>1556</v>
      </c>
      <c r="F60" s="7" t="s">
        <v>3032</v>
      </c>
      <c r="H60" s="7" t="s">
        <v>3051</v>
      </c>
      <c r="J60" s="7" t="s">
        <v>1606</v>
      </c>
      <c r="L60" s="7" t="s">
        <v>3082</v>
      </c>
      <c r="N60" s="7" t="s">
        <v>251</v>
      </c>
      <c r="O60" s="7" t="s">
        <v>3091</v>
      </c>
      <c r="Q60" s="7" t="s">
        <v>1627</v>
      </c>
      <c r="S60" s="7" t="s">
        <v>1557</v>
      </c>
      <c r="U60" s="7" t="s">
        <v>334</v>
      </c>
      <c r="X60" s="7" t="s">
        <v>3110</v>
      </c>
      <c r="Z60" s="7" t="s">
        <v>130</v>
      </c>
      <c r="AA60" s="7" t="s">
        <v>1652</v>
      </c>
      <c r="AB60" s="7" t="s">
        <v>404</v>
      </c>
      <c r="AE60" s="7" t="s">
        <v>3155</v>
      </c>
      <c r="AG60" s="7" t="s">
        <v>3171</v>
      </c>
      <c r="AI60" s="14">
        <v>1800</v>
      </c>
      <c r="AJ60" s="14"/>
      <c r="AK60" s="7" t="s">
        <v>251</v>
      </c>
      <c r="AL60" s="14">
        <v>1800</v>
      </c>
      <c r="AM60" s="7" t="s">
        <v>251</v>
      </c>
      <c r="AN60" s="7" t="s">
        <v>1558</v>
      </c>
      <c r="AO60" s="7">
        <v>10</v>
      </c>
      <c r="AQ60" s="7" t="s">
        <v>3191</v>
      </c>
      <c r="AS60" s="7" t="s">
        <v>3223</v>
      </c>
      <c r="AU60" s="7" t="s">
        <v>1559</v>
      </c>
      <c r="AW60" s="7" t="s">
        <v>251</v>
      </c>
      <c r="AX60" s="7" t="s">
        <v>334</v>
      </c>
      <c r="AZ60" s="7" t="s">
        <v>3239</v>
      </c>
      <c r="BB60" s="7" t="s">
        <v>3252</v>
      </c>
      <c r="BE60" s="7" t="s">
        <v>334</v>
      </c>
      <c r="BH60" s="14"/>
      <c r="BI60" s="7" t="s">
        <v>3258</v>
      </c>
      <c r="BJ60" s="7" t="s">
        <v>1653</v>
      </c>
      <c r="BK60" s="7" t="s">
        <v>3270</v>
      </c>
      <c r="BO60" s="7" t="s">
        <v>213</v>
      </c>
      <c r="BP60" s="7" t="s">
        <v>213</v>
      </c>
      <c r="BQ60" s="7" t="s">
        <v>1603</v>
      </c>
      <c r="BV60" s="7" t="s">
        <v>1620</v>
      </c>
      <c r="BW60" s="7" t="s">
        <v>1603</v>
      </c>
    </row>
    <row r="61" spans="1:76" x14ac:dyDescent="0.2">
      <c r="A61" s="6" t="s">
        <v>40</v>
      </c>
      <c r="B61" s="7" t="s">
        <v>345</v>
      </c>
      <c r="AI61" s="14"/>
      <c r="AJ61" s="14"/>
      <c r="AL61" s="14"/>
      <c r="BH61" s="14"/>
    </row>
    <row r="62" spans="1:76" ht="89.25" x14ac:dyDescent="0.2">
      <c r="A62" s="6" t="s">
        <v>44</v>
      </c>
      <c r="B62" s="7" t="s">
        <v>251</v>
      </c>
      <c r="C62" s="7" t="s">
        <v>251</v>
      </c>
      <c r="E62" s="7" t="s">
        <v>1556</v>
      </c>
      <c r="F62" s="7" t="s">
        <v>3029</v>
      </c>
      <c r="H62" s="7" t="s">
        <v>3053</v>
      </c>
      <c r="J62" s="7" t="s">
        <v>3074</v>
      </c>
      <c r="L62" s="7" t="s">
        <v>3082</v>
      </c>
      <c r="N62" s="7" t="s">
        <v>251</v>
      </c>
      <c r="O62" s="7" t="s">
        <v>3092</v>
      </c>
      <c r="Q62" s="7" t="s">
        <v>3098</v>
      </c>
      <c r="S62" s="7" t="s">
        <v>1557</v>
      </c>
      <c r="U62" s="7" t="s">
        <v>251</v>
      </c>
      <c r="V62" s="7" t="s">
        <v>130</v>
      </c>
      <c r="W62" s="7" t="s">
        <v>1658</v>
      </c>
      <c r="X62" s="7" t="s">
        <v>3105</v>
      </c>
      <c r="Z62" s="7" t="s">
        <v>3115</v>
      </c>
      <c r="AB62" s="7" t="s">
        <v>331</v>
      </c>
      <c r="AC62" s="7" t="s">
        <v>3121</v>
      </c>
      <c r="AE62" s="7" t="s">
        <v>3138</v>
      </c>
      <c r="AG62" s="7" t="s">
        <v>3173</v>
      </c>
      <c r="AI62" s="14">
        <v>500</v>
      </c>
      <c r="AJ62" s="14"/>
      <c r="AK62" s="7" t="s">
        <v>334</v>
      </c>
      <c r="AL62" s="14"/>
      <c r="AM62" s="7" t="s">
        <v>251</v>
      </c>
      <c r="AN62" s="7" t="s">
        <v>1558</v>
      </c>
      <c r="AO62" s="7">
        <v>4</v>
      </c>
      <c r="AQ62" s="7" t="s">
        <v>3191</v>
      </c>
      <c r="AS62" s="7" t="s">
        <v>3225</v>
      </c>
      <c r="AU62" s="7" t="s">
        <v>1659</v>
      </c>
      <c r="AW62" s="7" t="s">
        <v>251</v>
      </c>
      <c r="AX62" s="7" t="s">
        <v>251</v>
      </c>
      <c r="AY62" s="7" t="s">
        <v>1660</v>
      </c>
      <c r="AZ62" s="7" t="s">
        <v>3241</v>
      </c>
      <c r="BB62" s="7" t="s">
        <v>3252</v>
      </c>
      <c r="BE62" s="7" t="s">
        <v>334</v>
      </c>
      <c r="BH62" s="14"/>
      <c r="BI62" s="7" t="s">
        <v>1358</v>
      </c>
      <c r="BK62" s="7" t="s">
        <v>3270</v>
      </c>
      <c r="BP62" s="7" t="s">
        <v>1619</v>
      </c>
      <c r="BQ62" s="7" t="s">
        <v>1603</v>
      </c>
      <c r="BS62" s="7" t="s">
        <v>1619</v>
      </c>
      <c r="BT62" s="7" t="s">
        <v>1619</v>
      </c>
      <c r="BW62" s="7" t="s">
        <v>1603</v>
      </c>
      <c r="BX62" s="7" t="s">
        <v>1603</v>
      </c>
    </row>
    <row r="63" spans="1:76" ht="76.5" x14ac:dyDescent="0.2">
      <c r="A63" s="6" t="s">
        <v>58</v>
      </c>
      <c r="B63" s="7" t="s">
        <v>251</v>
      </c>
      <c r="C63" s="7" t="s">
        <v>251</v>
      </c>
      <c r="E63" s="7" t="s">
        <v>1578</v>
      </c>
      <c r="F63" s="7" t="s">
        <v>1579</v>
      </c>
      <c r="H63" s="7" t="s">
        <v>3057</v>
      </c>
      <c r="J63" s="7" t="s">
        <v>3066</v>
      </c>
      <c r="L63" s="7" t="s">
        <v>3082</v>
      </c>
      <c r="N63" s="7" t="s">
        <v>334</v>
      </c>
      <c r="S63" s="7" t="s">
        <v>130</v>
      </c>
      <c r="T63" s="7" t="s">
        <v>1674</v>
      </c>
      <c r="U63" s="7" t="s">
        <v>334</v>
      </c>
      <c r="X63" s="7" t="s">
        <v>1635</v>
      </c>
      <c r="Z63" s="7" t="s">
        <v>130</v>
      </c>
      <c r="AA63" s="7" t="s">
        <v>1608</v>
      </c>
      <c r="AB63" s="7" t="s">
        <v>404</v>
      </c>
      <c r="AE63" s="7" t="s">
        <v>3141</v>
      </c>
      <c r="AF63" s="7" t="s">
        <v>1675</v>
      </c>
      <c r="AG63" s="7" t="s">
        <v>3178</v>
      </c>
      <c r="AI63" s="14"/>
      <c r="AJ63" s="14"/>
      <c r="AL63" s="14"/>
      <c r="AM63" s="7" t="s">
        <v>251</v>
      </c>
      <c r="AN63" s="7" t="s">
        <v>1558</v>
      </c>
      <c r="AO63" s="7">
        <v>5</v>
      </c>
      <c r="AQ63" s="7" t="s">
        <v>3207</v>
      </c>
      <c r="AS63" s="7" t="s">
        <v>3225</v>
      </c>
      <c r="AU63" s="7" t="s">
        <v>1584</v>
      </c>
      <c r="AX63" s="7" t="s">
        <v>345</v>
      </c>
      <c r="AZ63" s="7" t="s">
        <v>3244</v>
      </c>
      <c r="BB63" s="7" t="s">
        <v>3250</v>
      </c>
      <c r="BD63" s="7" t="s">
        <v>1676</v>
      </c>
      <c r="BE63" s="7" t="s">
        <v>334</v>
      </c>
      <c r="BH63" s="14"/>
      <c r="BI63" s="7" t="s">
        <v>1358</v>
      </c>
      <c r="BK63" s="7" t="s">
        <v>3271</v>
      </c>
      <c r="BO63" s="7" t="s">
        <v>213</v>
      </c>
      <c r="BQ63" s="7" t="s">
        <v>213</v>
      </c>
      <c r="BX63" s="7" t="s">
        <v>1619</v>
      </c>
    </row>
    <row r="64" spans="1:76" ht="76.5" x14ac:dyDescent="0.2">
      <c r="A64" s="6" t="s">
        <v>15</v>
      </c>
      <c r="B64" s="7" t="s">
        <v>251</v>
      </c>
      <c r="C64" s="7" t="s">
        <v>251</v>
      </c>
      <c r="E64" s="7" t="s">
        <v>1556</v>
      </c>
      <c r="F64" s="7" t="s">
        <v>3030</v>
      </c>
      <c r="H64" s="7" t="s">
        <v>3043</v>
      </c>
      <c r="J64" s="7" t="s">
        <v>3060</v>
      </c>
      <c r="L64" s="7" t="s">
        <v>3082</v>
      </c>
      <c r="N64" s="7" t="s">
        <v>251</v>
      </c>
      <c r="O64" s="7" t="s">
        <v>3086</v>
      </c>
      <c r="Q64" s="7" t="s">
        <v>1557</v>
      </c>
      <c r="S64" s="7" t="s">
        <v>1557</v>
      </c>
      <c r="U64" s="7" t="s">
        <v>251</v>
      </c>
      <c r="X64" s="7" t="s">
        <v>3104</v>
      </c>
      <c r="Z64" s="7" t="s">
        <v>3118</v>
      </c>
      <c r="AA64" s="7" t="s">
        <v>1564</v>
      </c>
      <c r="AB64" s="7" t="s">
        <v>404</v>
      </c>
      <c r="AE64" s="7" t="s">
        <v>3148</v>
      </c>
      <c r="AG64" s="7" t="s">
        <v>3158</v>
      </c>
      <c r="AI64" s="14"/>
      <c r="AJ64" s="14"/>
      <c r="AL64" s="14"/>
      <c r="AM64" s="7" t="s">
        <v>251</v>
      </c>
      <c r="AN64" s="7" t="s">
        <v>1371</v>
      </c>
      <c r="AQ64" s="7" t="s">
        <v>3191</v>
      </c>
      <c r="AS64" s="7" t="s">
        <v>3212</v>
      </c>
      <c r="AU64" s="7" t="s">
        <v>1565</v>
      </c>
      <c r="AW64" s="7" t="s">
        <v>334</v>
      </c>
      <c r="AX64" s="7" t="s">
        <v>251</v>
      </c>
      <c r="AY64" s="7" t="s">
        <v>1566</v>
      </c>
      <c r="AZ64" s="7" t="s">
        <v>3230</v>
      </c>
      <c r="BB64" s="7" t="s">
        <v>1567</v>
      </c>
      <c r="BE64" s="7" t="s">
        <v>334</v>
      </c>
      <c r="BH64" s="14"/>
      <c r="BI64" s="7" t="s">
        <v>1358</v>
      </c>
      <c r="BK64" s="7" t="s">
        <v>3259</v>
      </c>
      <c r="BM64" s="7" t="s">
        <v>213</v>
      </c>
      <c r="BN64" s="7" t="s">
        <v>213</v>
      </c>
      <c r="BQ64" s="7" t="s">
        <v>213</v>
      </c>
      <c r="BU64" s="7" t="s">
        <v>1562</v>
      </c>
      <c r="BV64" s="7" t="s">
        <v>1562</v>
      </c>
      <c r="BW64" s="7" t="s">
        <v>1562</v>
      </c>
      <c r="BX64" s="7" t="s">
        <v>1562</v>
      </c>
    </row>
    <row r="65" spans="1:76" x14ac:dyDescent="0.2">
      <c r="A65" s="21" t="s">
        <v>3357</v>
      </c>
      <c r="B65" s="7">
        <f t="shared" ref="B65:AG65" si="0">COUNTA(B3:B64)</f>
        <v>62</v>
      </c>
      <c r="C65" s="7">
        <f t="shared" si="0"/>
        <v>34</v>
      </c>
      <c r="D65" s="7">
        <f t="shared" si="0"/>
        <v>0</v>
      </c>
      <c r="E65" s="7">
        <f t="shared" si="0"/>
        <v>35</v>
      </c>
      <c r="F65" s="7">
        <f t="shared" si="0"/>
        <v>35</v>
      </c>
      <c r="G65" s="7">
        <f t="shared" si="0"/>
        <v>2</v>
      </c>
      <c r="H65" s="7">
        <f t="shared" si="0"/>
        <v>35</v>
      </c>
      <c r="I65" s="7">
        <f t="shared" si="0"/>
        <v>4</v>
      </c>
      <c r="J65" s="7">
        <f t="shared" si="0"/>
        <v>35</v>
      </c>
      <c r="K65" s="7">
        <f t="shared" si="0"/>
        <v>0</v>
      </c>
      <c r="L65" s="7">
        <f t="shared" si="0"/>
        <v>35</v>
      </c>
      <c r="M65" s="7">
        <f t="shared" si="0"/>
        <v>1</v>
      </c>
      <c r="N65" s="7">
        <f t="shared" si="0"/>
        <v>35</v>
      </c>
      <c r="O65" s="7">
        <f t="shared" si="0"/>
        <v>18</v>
      </c>
      <c r="P65" s="7">
        <f t="shared" si="0"/>
        <v>1</v>
      </c>
      <c r="Q65" s="7">
        <f t="shared" si="0"/>
        <v>14</v>
      </c>
      <c r="R65" s="7">
        <f t="shared" si="0"/>
        <v>1</v>
      </c>
      <c r="S65" s="7">
        <f t="shared" si="0"/>
        <v>35</v>
      </c>
      <c r="T65" s="7">
        <f t="shared" si="0"/>
        <v>6</v>
      </c>
      <c r="U65" s="7">
        <f t="shared" si="0"/>
        <v>35</v>
      </c>
      <c r="V65" s="7">
        <f t="shared" si="0"/>
        <v>14</v>
      </c>
      <c r="W65" s="7">
        <f t="shared" si="0"/>
        <v>6</v>
      </c>
      <c r="X65" s="7">
        <f t="shared" si="0"/>
        <v>35</v>
      </c>
      <c r="Y65" s="7">
        <f t="shared" si="0"/>
        <v>1</v>
      </c>
      <c r="Z65" s="7">
        <f t="shared" si="0"/>
        <v>32</v>
      </c>
      <c r="AA65" s="7">
        <f t="shared" si="0"/>
        <v>19</v>
      </c>
      <c r="AB65" s="7">
        <f t="shared" si="0"/>
        <v>35</v>
      </c>
      <c r="AC65" s="7">
        <f t="shared" si="0"/>
        <v>21</v>
      </c>
      <c r="AD65" s="7">
        <f t="shared" si="0"/>
        <v>1</v>
      </c>
      <c r="AE65" s="7">
        <f t="shared" si="0"/>
        <v>35</v>
      </c>
      <c r="AF65" s="7">
        <f t="shared" si="0"/>
        <v>2</v>
      </c>
      <c r="AG65" s="7">
        <f t="shared" si="0"/>
        <v>35</v>
      </c>
      <c r="AH65" s="7">
        <f t="shared" ref="AH65:BM65" si="1">COUNTA(AH3:AH64)</f>
        <v>2</v>
      </c>
      <c r="AI65" s="7">
        <f t="shared" si="1"/>
        <v>17</v>
      </c>
      <c r="AJ65" s="7">
        <f t="shared" si="1"/>
        <v>3</v>
      </c>
      <c r="AK65" s="7">
        <f t="shared" si="1"/>
        <v>7</v>
      </c>
      <c r="AL65" s="7">
        <f t="shared" si="1"/>
        <v>5</v>
      </c>
      <c r="AM65" s="7">
        <f t="shared" si="1"/>
        <v>35</v>
      </c>
      <c r="AN65" s="7">
        <f t="shared" si="1"/>
        <v>34</v>
      </c>
      <c r="AO65" s="7">
        <f t="shared" si="1"/>
        <v>21</v>
      </c>
      <c r="AP65" s="7">
        <f t="shared" si="1"/>
        <v>9</v>
      </c>
      <c r="AQ65" s="7">
        <f t="shared" si="1"/>
        <v>34</v>
      </c>
      <c r="AR65" s="7">
        <f t="shared" si="1"/>
        <v>1</v>
      </c>
      <c r="AS65" s="7">
        <f t="shared" si="1"/>
        <v>34</v>
      </c>
      <c r="AT65" s="7">
        <f t="shared" si="1"/>
        <v>1</v>
      </c>
      <c r="AU65" s="7">
        <f t="shared" si="1"/>
        <v>34</v>
      </c>
      <c r="AV65" s="7">
        <f t="shared" si="1"/>
        <v>9</v>
      </c>
      <c r="AW65" s="7">
        <f t="shared" si="1"/>
        <v>22</v>
      </c>
      <c r="AX65" s="7">
        <f t="shared" si="1"/>
        <v>35</v>
      </c>
      <c r="AY65" s="7">
        <f t="shared" si="1"/>
        <v>20</v>
      </c>
      <c r="AZ65" s="7">
        <f t="shared" si="1"/>
        <v>35</v>
      </c>
      <c r="BA65" s="7">
        <f t="shared" si="1"/>
        <v>1</v>
      </c>
      <c r="BB65" s="7">
        <f t="shared" si="1"/>
        <v>27</v>
      </c>
      <c r="BC65" s="7">
        <f t="shared" si="1"/>
        <v>0</v>
      </c>
      <c r="BD65" s="7">
        <f t="shared" si="1"/>
        <v>12</v>
      </c>
      <c r="BE65" s="7">
        <f t="shared" si="1"/>
        <v>35</v>
      </c>
      <c r="BF65" s="7">
        <f t="shared" si="1"/>
        <v>6</v>
      </c>
      <c r="BG65" s="7">
        <f t="shared" si="1"/>
        <v>5</v>
      </c>
      <c r="BH65" s="7">
        <f t="shared" si="1"/>
        <v>5</v>
      </c>
      <c r="BI65" s="7">
        <f t="shared" si="1"/>
        <v>35</v>
      </c>
      <c r="BJ65" s="7">
        <f t="shared" si="1"/>
        <v>3</v>
      </c>
      <c r="BK65" s="7">
        <f t="shared" si="1"/>
        <v>35</v>
      </c>
      <c r="BL65" s="7">
        <f t="shared" si="1"/>
        <v>0</v>
      </c>
      <c r="BM65" s="7">
        <f t="shared" si="1"/>
        <v>3</v>
      </c>
      <c r="BN65" s="7">
        <f t="shared" ref="BN65:BX65" si="2">COUNTA(BN3:BN64)</f>
        <v>4</v>
      </c>
      <c r="BO65" s="7">
        <f t="shared" si="2"/>
        <v>15</v>
      </c>
      <c r="BP65" s="7">
        <f t="shared" si="2"/>
        <v>13</v>
      </c>
      <c r="BQ65" s="7">
        <f t="shared" si="2"/>
        <v>18</v>
      </c>
      <c r="BR65" s="7">
        <f t="shared" si="2"/>
        <v>4</v>
      </c>
      <c r="BS65" s="7">
        <f t="shared" si="2"/>
        <v>9</v>
      </c>
      <c r="BT65" s="7">
        <f t="shared" si="2"/>
        <v>5</v>
      </c>
      <c r="BU65" s="7">
        <f t="shared" si="2"/>
        <v>10</v>
      </c>
      <c r="BV65" s="7">
        <f t="shared" si="2"/>
        <v>13</v>
      </c>
      <c r="BW65" s="7">
        <f t="shared" si="2"/>
        <v>20</v>
      </c>
      <c r="BX65" s="7">
        <f t="shared" si="2"/>
        <v>25</v>
      </c>
    </row>
  </sheetData>
  <autoFilter ref="A2:BX64" xr:uid="{2906DF09-B10C-4A92-B4FC-FC65B70185F8}"/>
  <sortState xmlns:xlrd2="http://schemas.microsoft.com/office/spreadsheetml/2017/richdata2" ref="A3:BX64">
    <sortCondition ref="A3:A64"/>
  </sortState>
  <hyperlinks>
    <hyperlink ref="A1" location="Index!A1" display="Back to Index" xr:uid="{00000000-0004-0000-0800-000000000000}"/>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S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4.7109375" style="6" customWidth="1"/>
    <col min="2" max="97" width="30.7109375" style="7" customWidth="1"/>
    <col min="98" max="16384" width="15.7109375" style="6"/>
  </cols>
  <sheetData>
    <row r="1" spans="1:97" s="9" customFormat="1" x14ac:dyDescent="0.2">
      <c r="A1" s="12" t="s">
        <v>1984</v>
      </c>
      <c r="B1" s="8" t="s">
        <v>1692</v>
      </c>
      <c r="C1" s="8" t="s">
        <v>1693</v>
      </c>
      <c r="D1" s="8" t="s">
        <v>1694</v>
      </c>
      <c r="E1" s="8" t="s">
        <v>1695</v>
      </c>
      <c r="F1" s="8" t="s">
        <v>1696</v>
      </c>
      <c r="G1" s="8" t="s">
        <v>1697</v>
      </c>
      <c r="H1" s="8" t="s">
        <v>1698</v>
      </c>
      <c r="I1" s="8" t="s">
        <v>1699</v>
      </c>
      <c r="J1" s="8" t="s">
        <v>1700</v>
      </c>
      <c r="K1" s="8" t="s">
        <v>1701</v>
      </c>
      <c r="L1" s="8" t="s">
        <v>1702</v>
      </c>
      <c r="M1" s="8" t="s">
        <v>1703</v>
      </c>
      <c r="N1" s="8" t="s">
        <v>1704</v>
      </c>
      <c r="O1" s="8" t="s">
        <v>1705</v>
      </c>
      <c r="P1" s="8" t="s">
        <v>1706</v>
      </c>
      <c r="Q1" s="8" t="s">
        <v>1707</v>
      </c>
      <c r="R1" s="8" t="s">
        <v>1708</v>
      </c>
      <c r="S1" s="8" t="s">
        <v>1709</v>
      </c>
      <c r="T1" s="8" t="s">
        <v>1710</v>
      </c>
      <c r="U1" s="8" t="s">
        <v>1711</v>
      </c>
      <c r="V1" s="8" t="s">
        <v>1712</v>
      </c>
      <c r="W1" s="8" t="s">
        <v>1713</v>
      </c>
      <c r="X1" s="8" t="s">
        <v>1714</v>
      </c>
      <c r="Y1" s="8" t="s">
        <v>1715</v>
      </c>
      <c r="Z1" s="8" t="s">
        <v>1716</v>
      </c>
      <c r="AA1" s="8" t="s">
        <v>1717</v>
      </c>
      <c r="AB1" s="8" t="s">
        <v>1718</v>
      </c>
      <c r="AC1" s="8" t="s">
        <v>1719</v>
      </c>
      <c r="AD1" s="8" t="s">
        <v>1720</v>
      </c>
      <c r="AE1" s="8" t="s">
        <v>1721</v>
      </c>
      <c r="AF1" s="8" t="s">
        <v>1722</v>
      </c>
      <c r="AG1" s="8" t="s">
        <v>1723</v>
      </c>
      <c r="AH1" s="8" t="s">
        <v>1724</v>
      </c>
      <c r="AI1" s="8" t="s">
        <v>1725</v>
      </c>
      <c r="AJ1" s="8" t="s">
        <v>1726</v>
      </c>
      <c r="AK1" s="8" t="s">
        <v>1727</v>
      </c>
      <c r="AL1" s="8" t="s">
        <v>1728</v>
      </c>
      <c r="AM1" s="8" t="s">
        <v>1729</v>
      </c>
      <c r="AN1" s="8" t="s">
        <v>1730</v>
      </c>
      <c r="AO1" s="8" t="s">
        <v>1731</v>
      </c>
      <c r="AP1" s="8" t="s">
        <v>1732</v>
      </c>
      <c r="AQ1" s="8" t="s">
        <v>1733</v>
      </c>
      <c r="AR1" s="8" t="s">
        <v>1734</v>
      </c>
      <c r="AS1" s="8" t="s">
        <v>1735</v>
      </c>
      <c r="AT1" s="8" t="s">
        <v>1736</v>
      </c>
      <c r="AU1" s="8" t="s">
        <v>1737</v>
      </c>
      <c r="AV1" s="8" t="s">
        <v>1738</v>
      </c>
      <c r="AW1" s="8" t="s">
        <v>1739</v>
      </c>
      <c r="AX1" s="8" t="s">
        <v>1740</v>
      </c>
      <c r="AY1" s="8" t="s">
        <v>1741</v>
      </c>
      <c r="AZ1" s="8" t="s">
        <v>1742</v>
      </c>
      <c r="BA1" s="8" t="s">
        <v>1743</v>
      </c>
      <c r="BB1" s="8" t="s">
        <v>1744</v>
      </c>
      <c r="BC1" s="8" t="s">
        <v>1745</v>
      </c>
      <c r="BD1" s="8" t="s">
        <v>1746</v>
      </c>
      <c r="BE1" s="8" t="s">
        <v>1747</v>
      </c>
      <c r="BF1" s="8" t="s">
        <v>1748</v>
      </c>
      <c r="BG1" s="8" t="s">
        <v>1749</v>
      </c>
      <c r="BH1" s="8" t="s">
        <v>1750</v>
      </c>
      <c r="BI1" s="8" t="s">
        <v>1751</v>
      </c>
      <c r="BJ1" s="8" t="s">
        <v>1752</v>
      </c>
      <c r="BK1" s="8" t="s">
        <v>1753</v>
      </c>
      <c r="BL1" s="8" t="s">
        <v>1754</v>
      </c>
      <c r="BM1" s="8" t="s">
        <v>1755</v>
      </c>
      <c r="BN1" s="8" t="s">
        <v>1756</v>
      </c>
      <c r="BO1" s="8" t="s">
        <v>1757</v>
      </c>
      <c r="BP1" s="8" t="s">
        <v>1758</v>
      </c>
      <c r="BQ1" s="8" t="s">
        <v>1759</v>
      </c>
      <c r="BR1" s="8" t="s">
        <v>1760</v>
      </c>
      <c r="BS1" s="8" t="s">
        <v>1761</v>
      </c>
      <c r="BT1" s="8" t="s">
        <v>1762</v>
      </c>
      <c r="BU1" s="8" t="s">
        <v>1763</v>
      </c>
      <c r="BV1" s="8" t="s">
        <v>1764</v>
      </c>
      <c r="BW1" s="8" t="s">
        <v>1765</v>
      </c>
      <c r="BX1" s="8" t="s">
        <v>1766</v>
      </c>
      <c r="BY1" s="8" t="s">
        <v>1767</v>
      </c>
      <c r="BZ1" s="8" t="s">
        <v>1768</v>
      </c>
      <c r="CA1" s="8" t="s">
        <v>1769</v>
      </c>
      <c r="CB1" s="8" t="s">
        <v>1770</v>
      </c>
      <c r="CC1" s="8" t="s">
        <v>1771</v>
      </c>
      <c r="CD1" s="8" t="s">
        <v>1772</v>
      </c>
      <c r="CE1" s="8" t="s">
        <v>1773</v>
      </c>
      <c r="CF1" s="8" t="s">
        <v>1774</v>
      </c>
      <c r="CG1" s="8" t="s">
        <v>1775</v>
      </c>
      <c r="CH1" s="8" t="s">
        <v>1776</v>
      </c>
      <c r="CI1" s="8" t="s">
        <v>1777</v>
      </c>
      <c r="CJ1" s="8" t="s">
        <v>1778</v>
      </c>
      <c r="CK1" s="8" t="s">
        <v>1779</v>
      </c>
      <c r="CL1" s="8" t="s">
        <v>1780</v>
      </c>
      <c r="CM1" s="8" t="s">
        <v>1781</v>
      </c>
      <c r="CN1" s="8" t="s">
        <v>1782</v>
      </c>
      <c r="CO1" s="8" t="s">
        <v>1783</v>
      </c>
      <c r="CP1" s="8" t="s">
        <v>1784</v>
      </c>
      <c r="CQ1" s="8" t="s">
        <v>1785</v>
      </c>
      <c r="CR1" s="8" t="s">
        <v>1786</v>
      </c>
      <c r="CS1" s="8" t="s">
        <v>1787</v>
      </c>
    </row>
    <row r="2" spans="1:97" s="9" customFormat="1" ht="76.5" x14ac:dyDescent="0.2">
      <c r="A2" s="9" t="s">
        <v>2713</v>
      </c>
      <c r="B2" s="17" t="s">
        <v>2567</v>
      </c>
      <c r="C2" s="8" t="s">
        <v>2568</v>
      </c>
      <c r="D2" s="8" t="s">
        <v>2569</v>
      </c>
      <c r="E2" s="17" t="s">
        <v>2570</v>
      </c>
      <c r="F2" s="8" t="s">
        <v>2571</v>
      </c>
      <c r="G2" s="8" t="s">
        <v>2572</v>
      </c>
      <c r="H2" s="8" t="s">
        <v>2573</v>
      </c>
      <c r="I2" s="8" t="s">
        <v>2574</v>
      </c>
      <c r="J2" s="8" t="s">
        <v>2575</v>
      </c>
      <c r="K2" s="8" t="s">
        <v>2576</v>
      </c>
      <c r="L2" s="8" t="s">
        <v>2577</v>
      </c>
      <c r="M2" s="17" t="s">
        <v>2578</v>
      </c>
      <c r="N2" s="17" t="s">
        <v>2579</v>
      </c>
      <c r="O2" s="8" t="s">
        <v>2580</v>
      </c>
      <c r="P2" s="8" t="s">
        <v>2581</v>
      </c>
      <c r="Q2" s="8" t="s">
        <v>2582</v>
      </c>
      <c r="R2" s="8" t="s">
        <v>2583</v>
      </c>
      <c r="S2" s="17" t="s">
        <v>2584</v>
      </c>
      <c r="T2" s="17" t="s">
        <v>2585</v>
      </c>
      <c r="U2" s="8" t="s">
        <v>2586</v>
      </c>
      <c r="V2" s="8" t="s">
        <v>2587</v>
      </c>
      <c r="W2" s="8" t="s">
        <v>2588</v>
      </c>
      <c r="X2" s="8" t="s">
        <v>2589</v>
      </c>
      <c r="Y2" s="17" t="s">
        <v>2590</v>
      </c>
      <c r="Z2" s="17" t="s">
        <v>2591</v>
      </c>
      <c r="AA2" s="8" t="s">
        <v>2592</v>
      </c>
      <c r="AB2" s="8" t="s">
        <v>2593</v>
      </c>
      <c r="AC2" s="8" t="s">
        <v>2594</v>
      </c>
      <c r="AD2" s="8" t="s">
        <v>2595</v>
      </c>
      <c r="AE2" s="8" t="s">
        <v>2596</v>
      </c>
      <c r="AF2" s="8" t="s">
        <v>2597</v>
      </c>
      <c r="AG2" s="8" t="s">
        <v>2598</v>
      </c>
      <c r="AH2" s="8" t="s">
        <v>2599</v>
      </c>
      <c r="AI2" s="8" t="s">
        <v>2600</v>
      </c>
      <c r="AJ2" s="8" t="s">
        <v>2601</v>
      </c>
      <c r="AK2" s="8" t="s">
        <v>2602</v>
      </c>
      <c r="AL2" s="8" t="s">
        <v>2603</v>
      </c>
      <c r="AM2" s="8" t="s">
        <v>2604</v>
      </c>
      <c r="AN2" s="8" t="s">
        <v>2605</v>
      </c>
      <c r="AO2" s="8" t="s">
        <v>2606</v>
      </c>
      <c r="AP2" s="8" t="s">
        <v>2607</v>
      </c>
      <c r="AQ2" s="8" t="s">
        <v>2608</v>
      </c>
      <c r="AR2" s="8" t="s">
        <v>2609</v>
      </c>
      <c r="AS2" s="8" t="s">
        <v>2610</v>
      </c>
      <c r="AT2" s="8" t="s">
        <v>2611</v>
      </c>
      <c r="AU2" s="8" t="s">
        <v>2612</v>
      </c>
      <c r="AV2" s="8" t="s">
        <v>2613</v>
      </c>
      <c r="AW2" s="8" t="s">
        <v>2614</v>
      </c>
      <c r="AX2" s="8" t="s">
        <v>2615</v>
      </c>
      <c r="AY2" s="17" t="s">
        <v>2616</v>
      </c>
      <c r="AZ2" s="17" t="s">
        <v>2617</v>
      </c>
      <c r="BA2" s="8" t="s">
        <v>2618</v>
      </c>
      <c r="BB2" s="8" t="s">
        <v>2619</v>
      </c>
      <c r="BC2" s="17" t="s">
        <v>2620</v>
      </c>
      <c r="BD2" s="17" t="s">
        <v>2621</v>
      </c>
      <c r="BE2" s="8" t="s">
        <v>2622</v>
      </c>
      <c r="BF2" s="8" t="s">
        <v>2623</v>
      </c>
      <c r="BG2" s="17" t="s">
        <v>2624</v>
      </c>
      <c r="BH2" s="8" t="s">
        <v>2625</v>
      </c>
      <c r="BI2" s="8" t="s">
        <v>2626</v>
      </c>
      <c r="BJ2" s="8" t="s">
        <v>2627</v>
      </c>
      <c r="BK2" s="17" t="s">
        <v>2628</v>
      </c>
      <c r="BL2" s="17" t="s">
        <v>2629</v>
      </c>
      <c r="BM2" s="17" t="s">
        <v>2630</v>
      </c>
      <c r="BN2" s="17" t="s">
        <v>2631</v>
      </c>
      <c r="BO2" s="8" t="s">
        <v>2632</v>
      </c>
      <c r="BP2" s="8" t="s">
        <v>2633</v>
      </c>
      <c r="BQ2" s="17" t="s">
        <v>2634</v>
      </c>
      <c r="BR2" s="17" t="s">
        <v>2635</v>
      </c>
      <c r="BS2" s="17" t="s">
        <v>2636</v>
      </c>
      <c r="BT2" s="17" t="s">
        <v>2637</v>
      </c>
      <c r="BU2" s="17" t="s">
        <v>2638</v>
      </c>
      <c r="BV2" s="17" t="s">
        <v>2639</v>
      </c>
      <c r="BW2" s="8" t="s">
        <v>2640</v>
      </c>
      <c r="BX2" s="8" t="s">
        <v>2641</v>
      </c>
      <c r="BY2" s="8" t="s">
        <v>2642</v>
      </c>
      <c r="BZ2" s="17" t="s">
        <v>2643</v>
      </c>
      <c r="CA2" s="17" t="s">
        <v>2644</v>
      </c>
      <c r="CB2" s="17" t="s">
        <v>2645</v>
      </c>
      <c r="CC2" s="8" t="s">
        <v>2646</v>
      </c>
      <c r="CD2" s="8" t="s">
        <v>2647</v>
      </c>
      <c r="CE2" s="8" t="s">
        <v>2648</v>
      </c>
      <c r="CF2" s="8" t="s">
        <v>2649</v>
      </c>
      <c r="CG2" s="8" t="s">
        <v>2742</v>
      </c>
      <c r="CH2" s="8" t="s">
        <v>2743</v>
      </c>
      <c r="CI2" s="17" t="s">
        <v>2650</v>
      </c>
      <c r="CJ2" s="17" t="s">
        <v>2651</v>
      </c>
      <c r="CK2" s="17" t="s">
        <v>2652</v>
      </c>
      <c r="CL2" s="17" t="s">
        <v>2653</v>
      </c>
      <c r="CM2" s="17" t="s">
        <v>2654</v>
      </c>
      <c r="CN2" s="17" t="s">
        <v>2655</v>
      </c>
      <c r="CO2" s="17" t="s">
        <v>2656</v>
      </c>
      <c r="CP2" s="17" t="s">
        <v>2657</v>
      </c>
      <c r="CQ2" s="8" t="s">
        <v>2658</v>
      </c>
      <c r="CR2" s="8" t="s">
        <v>2659</v>
      </c>
      <c r="CS2" s="17" t="s">
        <v>2660</v>
      </c>
    </row>
    <row r="3" spans="1:97" x14ac:dyDescent="0.2">
      <c r="A3" s="6" t="s">
        <v>69</v>
      </c>
      <c r="B3" s="7" t="s">
        <v>334</v>
      </c>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97" x14ac:dyDescent="0.2">
      <c r="A4" s="6" t="s">
        <v>45</v>
      </c>
      <c r="B4" s="7" t="s">
        <v>334</v>
      </c>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97" x14ac:dyDescent="0.2">
      <c r="A5" s="6" t="s">
        <v>18</v>
      </c>
      <c r="B5" s="7" t="s">
        <v>334</v>
      </c>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97" x14ac:dyDescent="0.2">
      <c r="A6" s="6" t="s">
        <v>30</v>
      </c>
      <c r="B6" s="7" t="s">
        <v>334</v>
      </c>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97" x14ac:dyDescent="0.2">
      <c r="A7" s="6" t="s">
        <v>66</v>
      </c>
      <c r="B7" s="7" t="s">
        <v>334</v>
      </c>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97" x14ac:dyDescent="0.2">
      <c r="A8" s="6" t="s">
        <v>34</v>
      </c>
      <c r="B8" s="7" t="s">
        <v>334</v>
      </c>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97" x14ac:dyDescent="0.2">
      <c r="A9" s="6" t="s">
        <v>31</v>
      </c>
      <c r="B9" s="7" t="s">
        <v>334</v>
      </c>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97" x14ac:dyDescent="0.2">
      <c r="A10" s="6" t="s">
        <v>46</v>
      </c>
      <c r="B10" s="7" t="s">
        <v>334</v>
      </c>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97" x14ac:dyDescent="0.2">
      <c r="A11" s="6" t="s">
        <v>42</v>
      </c>
      <c r="B11" s="7" t="s">
        <v>334</v>
      </c>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97" x14ac:dyDescent="0.2">
      <c r="A12" s="6" t="s">
        <v>33</v>
      </c>
      <c r="B12" s="7" t="s">
        <v>334</v>
      </c>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97" x14ac:dyDescent="0.2">
      <c r="A13" s="6" t="s">
        <v>55</v>
      </c>
      <c r="B13" s="7" t="s">
        <v>334</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97" x14ac:dyDescent="0.2">
      <c r="A14" s="6" t="s">
        <v>48</v>
      </c>
      <c r="B14" s="7" t="s">
        <v>334</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97" x14ac:dyDescent="0.2">
      <c r="A15" s="6" t="s">
        <v>57</v>
      </c>
      <c r="B15" s="7" t="s">
        <v>334</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97" x14ac:dyDescent="0.2">
      <c r="A16" s="6" t="s">
        <v>54</v>
      </c>
      <c r="B16" s="7" t="s">
        <v>334</v>
      </c>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95" x14ac:dyDescent="0.2">
      <c r="A17" s="6" t="s">
        <v>23</v>
      </c>
      <c r="B17" s="7" t="s">
        <v>334</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95" x14ac:dyDescent="0.2">
      <c r="A18" s="6" t="s">
        <v>27</v>
      </c>
      <c r="B18" s="7" t="s">
        <v>334</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95" x14ac:dyDescent="0.2">
      <c r="A19" s="6" t="s">
        <v>63</v>
      </c>
      <c r="B19" s="7" t="s">
        <v>345</v>
      </c>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95" x14ac:dyDescent="0.2">
      <c r="A20" s="6" t="s">
        <v>25</v>
      </c>
      <c r="B20" s="7" t="s">
        <v>334</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95" x14ac:dyDescent="0.2">
      <c r="A21" s="6" t="s">
        <v>26</v>
      </c>
      <c r="B21" s="7" t="s">
        <v>334</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95" x14ac:dyDescent="0.2">
      <c r="A22" s="6" t="s">
        <v>20</v>
      </c>
      <c r="B22" s="7" t="s">
        <v>334</v>
      </c>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95" x14ac:dyDescent="0.2">
      <c r="A23" s="6" t="s">
        <v>70</v>
      </c>
      <c r="B23" s="7" t="s">
        <v>334</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95" x14ac:dyDescent="0.2">
      <c r="A24" s="6" t="s">
        <v>14</v>
      </c>
      <c r="B24" s="7" t="s">
        <v>334</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95" x14ac:dyDescent="0.2">
      <c r="A25" s="6" t="s">
        <v>24</v>
      </c>
      <c r="B25" s="7" t="s">
        <v>251</v>
      </c>
      <c r="C25" s="7" t="s">
        <v>1788</v>
      </c>
      <c r="E25" s="7" t="s">
        <v>1346</v>
      </c>
      <c r="F25" s="7" t="s">
        <v>1789</v>
      </c>
      <c r="G25" s="7" t="s">
        <v>1789</v>
      </c>
      <c r="H25" s="7" t="s">
        <v>1808</v>
      </c>
      <c r="I25" s="7" t="s">
        <v>1808</v>
      </c>
      <c r="J25" s="7" t="s">
        <v>1789</v>
      </c>
      <c r="K25" s="7" t="s">
        <v>1790</v>
      </c>
      <c r="M25" s="7" t="s">
        <v>1809</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BZ25" s="7" t="s">
        <v>1810</v>
      </c>
      <c r="CB25" s="7" t="s">
        <v>1811</v>
      </c>
      <c r="CQ25" s="7" t="s">
        <v>334</v>
      </c>
    </row>
    <row r="26" spans="1:95" x14ac:dyDescent="0.2">
      <c r="A26" s="6" t="s">
        <v>37</v>
      </c>
      <c r="B26" s="7" t="s">
        <v>334</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95" x14ac:dyDescent="0.2">
      <c r="A27" s="6" t="s">
        <v>13</v>
      </c>
      <c r="B27" s="7" t="s">
        <v>334</v>
      </c>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95" x14ac:dyDescent="0.2">
      <c r="A28" s="6" t="s">
        <v>35</v>
      </c>
      <c r="B28" s="7" t="s">
        <v>334</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95" x14ac:dyDescent="0.2">
      <c r="A29" s="6" t="s">
        <v>67</v>
      </c>
      <c r="B29" s="7" t="s">
        <v>334</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95" x14ac:dyDescent="0.2">
      <c r="A30" s="6" t="s">
        <v>49</v>
      </c>
      <c r="B30" s="7" t="s">
        <v>334</v>
      </c>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95" x14ac:dyDescent="0.2">
      <c r="A31" s="6" t="s">
        <v>68</v>
      </c>
      <c r="B31" s="7" t="s">
        <v>334</v>
      </c>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95" ht="25.5" x14ac:dyDescent="0.2">
      <c r="A32" s="6" t="s">
        <v>11</v>
      </c>
      <c r="B32" s="7" t="s">
        <v>251</v>
      </c>
      <c r="C32" s="7" t="s">
        <v>1788</v>
      </c>
      <c r="E32" s="7" t="s">
        <v>1339</v>
      </c>
      <c r="F32" s="7" t="s">
        <v>1789</v>
      </c>
      <c r="J32" s="7" t="s">
        <v>1789</v>
      </c>
      <c r="K32" s="7" t="s">
        <v>1790</v>
      </c>
      <c r="M32" s="7" t="s">
        <v>1791</v>
      </c>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CC32" s="7" t="s">
        <v>1792</v>
      </c>
      <c r="CE32" s="7" t="s">
        <v>334</v>
      </c>
      <c r="CG32" s="7" t="s">
        <v>1793</v>
      </c>
      <c r="CQ32" s="7" t="s">
        <v>334</v>
      </c>
    </row>
    <row r="33" spans="1:95" x14ac:dyDescent="0.2">
      <c r="A33" s="6" t="s">
        <v>50</v>
      </c>
      <c r="B33" s="7" t="s">
        <v>334</v>
      </c>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95" x14ac:dyDescent="0.2">
      <c r="A34" s="6" t="s">
        <v>71</v>
      </c>
      <c r="B34" s="7" t="s">
        <v>334</v>
      </c>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95" x14ac:dyDescent="0.2">
      <c r="A35" s="6" t="s">
        <v>65</v>
      </c>
      <c r="B35" s="7" t="s">
        <v>334</v>
      </c>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95" x14ac:dyDescent="0.2">
      <c r="A36" s="6" t="s">
        <v>59</v>
      </c>
      <c r="B36" s="7" t="s">
        <v>334</v>
      </c>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95" x14ac:dyDescent="0.2">
      <c r="A37" s="6" t="s">
        <v>36</v>
      </c>
      <c r="B37" s="7" t="s">
        <v>334</v>
      </c>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95" x14ac:dyDescent="0.2">
      <c r="A38" s="6" t="s">
        <v>28</v>
      </c>
      <c r="B38" s="7" t="s">
        <v>334</v>
      </c>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95" x14ac:dyDescent="0.2">
      <c r="A39" s="6" t="s">
        <v>52</v>
      </c>
      <c r="B39" s="7" t="s">
        <v>334</v>
      </c>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95" x14ac:dyDescent="0.2">
      <c r="A40" s="6" t="s">
        <v>19</v>
      </c>
      <c r="B40" s="7" t="s">
        <v>334</v>
      </c>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95" x14ac:dyDescent="0.2">
      <c r="A41" s="6" t="s">
        <v>51</v>
      </c>
      <c r="B41" s="7" t="s">
        <v>334</v>
      </c>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95" x14ac:dyDescent="0.2">
      <c r="A42" s="6" t="s">
        <v>47</v>
      </c>
      <c r="B42" s="7" t="s">
        <v>334</v>
      </c>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95" x14ac:dyDescent="0.2">
      <c r="A43" s="6" t="s">
        <v>56</v>
      </c>
      <c r="B43" s="7" t="s">
        <v>334</v>
      </c>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95" x14ac:dyDescent="0.2">
      <c r="A44" s="6" t="s">
        <v>62</v>
      </c>
      <c r="B44" s="7" t="s">
        <v>334</v>
      </c>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95" x14ac:dyDescent="0.2">
      <c r="A45" s="6" t="s">
        <v>21</v>
      </c>
      <c r="B45" s="7" t="s">
        <v>334</v>
      </c>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95" ht="38.25" x14ac:dyDescent="0.2">
      <c r="A46" s="6" t="s">
        <v>12</v>
      </c>
      <c r="B46" s="7" t="s">
        <v>251</v>
      </c>
      <c r="C46" s="7" t="s">
        <v>1788</v>
      </c>
      <c r="E46" s="7" t="s">
        <v>1346</v>
      </c>
      <c r="G46" s="7" t="s">
        <v>1794</v>
      </c>
      <c r="H46" s="7" t="s">
        <v>1794</v>
      </c>
      <c r="K46" s="7" t="s">
        <v>1795</v>
      </c>
      <c r="M46" s="7" t="s">
        <v>3279</v>
      </c>
      <c r="N46" s="7" t="s">
        <v>1796</v>
      </c>
      <c r="O46" s="7" t="s">
        <v>1797</v>
      </c>
      <c r="S46" s="7" t="s">
        <v>1798</v>
      </c>
      <c r="U46" s="7" t="s">
        <v>130</v>
      </c>
      <c r="V46" s="7" t="s">
        <v>1799</v>
      </c>
      <c r="W46" s="7" t="s">
        <v>130</v>
      </c>
      <c r="X46" s="7" t="s">
        <v>1799</v>
      </c>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BC46" s="7" t="s">
        <v>1800</v>
      </c>
      <c r="BE46" s="7" t="s">
        <v>334</v>
      </c>
      <c r="BG46" s="7" t="s">
        <v>1801</v>
      </c>
      <c r="BH46" s="7" t="s">
        <v>1802</v>
      </c>
      <c r="BJ46" s="7" t="s">
        <v>1803</v>
      </c>
      <c r="BM46" s="7" t="s">
        <v>334</v>
      </c>
      <c r="CQ46" s="7" t="s">
        <v>334</v>
      </c>
    </row>
    <row r="47" spans="1:95" x14ac:dyDescent="0.2">
      <c r="A47" s="6" t="s">
        <v>64</v>
      </c>
      <c r="B47" s="7" t="s">
        <v>334</v>
      </c>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95" x14ac:dyDescent="0.2">
      <c r="A48" s="6" t="s">
        <v>38</v>
      </c>
      <c r="B48" s="7" t="s">
        <v>334</v>
      </c>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97" x14ac:dyDescent="0.2">
      <c r="A49" s="6" t="s">
        <v>41</v>
      </c>
      <c r="B49" s="7" t="s">
        <v>334</v>
      </c>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97" x14ac:dyDescent="0.2">
      <c r="A50" s="6" t="s">
        <v>29</v>
      </c>
      <c r="B50" s="7" t="s">
        <v>334</v>
      </c>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97" ht="51" x14ac:dyDescent="0.2">
      <c r="A51" s="6" t="s">
        <v>17</v>
      </c>
      <c r="B51" s="7" t="s">
        <v>251</v>
      </c>
      <c r="C51" s="7" t="s">
        <v>3276</v>
      </c>
      <c r="E51" s="7" t="s">
        <v>1339</v>
      </c>
      <c r="K51" s="7" t="s">
        <v>1805</v>
      </c>
      <c r="M51" s="7" t="s">
        <v>1807</v>
      </c>
      <c r="O51" s="7" t="s">
        <v>3280</v>
      </c>
      <c r="Q51" s="7" t="s">
        <v>3354</v>
      </c>
      <c r="S51" s="7" t="s">
        <v>3281</v>
      </c>
      <c r="U51" s="7" t="s">
        <v>3282</v>
      </c>
      <c r="W51" s="7" t="s">
        <v>3282</v>
      </c>
      <c r="Y51" s="7" t="s">
        <v>3283</v>
      </c>
      <c r="AA51" s="14">
        <v>9000</v>
      </c>
      <c r="AB51" s="14">
        <v>9000</v>
      </c>
      <c r="AC51" s="14"/>
      <c r="AD51" s="14"/>
      <c r="AE51" s="14">
        <v>9000</v>
      </c>
      <c r="AF51" s="14">
        <v>9000</v>
      </c>
      <c r="AG51" s="14">
        <v>9000</v>
      </c>
      <c r="AH51" s="14">
        <v>9000</v>
      </c>
      <c r="AI51" s="14">
        <v>9000</v>
      </c>
      <c r="AJ51" s="14">
        <v>9000</v>
      </c>
      <c r="AK51" s="14"/>
      <c r="AL51" s="14"/>
      <c r="AM51" s="14">
        <v>9000</v>
      </c>
      <c r="AN51" s="14">
        <v>9000</v>
      </c>
      <c r="AO51" s="14"/>
      <c r="AP51" s="14"/>
      <c r="AQ51" s="14">
        <v>9000</v>
      </c>
      <c r="AR51" s="14">
        <v>9000</v>
      </c>
      <c r="AS51" s="14">
        <v>9000</v>
      </c>
      <c r="AT51" s="14">
        <v>9000</v>
      </c>
      <c r="AU51" s="14">
        <v>9000</v>
      </c>
      <c r="AV51" s="14">
        <v>9000</v>
      </c>
      <c r="AW51" s="14"/>
      <c r="AX51" s="14"/>
      <c r="AY51" s="7" t="s">
        <v>3284</v>
      </c>
      <c r="BA51" s="7" t="s">
        <v>356</v>
      </c>
      <c r="CQ51" s="7" t="s">
        <v>334</v>
      </c>
      <c r="CS51" s="7" t="s">
        <v>1472</v>
      </c>
    </row>
    <row r="52" spans="1:97" x14ac:dyDescent="0.2">
      <c r="A52" s="6" t="s">
        <v>22</v>
      </c>
      <c r="B52" s="7" t="s">
        <v>334</v>
      </c>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97" x14ac:dyDescent="0.2">
      <c r="A53" s="6" t="s">
        <v>53</v>
      </c>
      <c r="B53" s="7" t="s">
        <v>334</v>
      </c>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97" ht="25.5" x14ac:dyDescent="0.2">
      <c r="A54" s="6" t="s">
        <v>43</v>
      </c>
      <c r="B54" s="7" t="s">
        <v>251</v>
      </c>
      <c r="C54" s="7" t="s">
        <v>1788</v>
      </c>
      <c r="E54" s="7" t="s">
        <v>1339</v>
      </c>
      <c r="F54" s="7" t="s">
        <v>1789</v>
      </c>
      <c r="J54" s="7" t="s">
        <v>1789</v>
      </c>
      <c r="K54" s="7" t="s">
        <v>1805</v>
      </c>
      <c r="M54" s="7" t="s">
        <v>3278</v>
      </c>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CB54" s="7" t="s">
        <v>1813</v>
      </c>
      <c r="CC54" s="7" t="s">
        <v>1792</v>
      </c>
      <c r="CE54" s="7" t="s">
        <v>334</v>
      </c>
      <c r="CF54" s="7">
        <v>875</v>
      </c>
      <c r="CG54" s="7" t="s">
        <v>130</v>
      </c>
      <c r="CH54" s="7" t="s">
        <v>1814</v>
      </c>
      <c r="CQ54" s="7" t="s">
        <v>334</v>
      </c>
    </row>
    <row r="55" spans="1:97" x14ac:dyDescent="0.2">
      <c r="A55" s="6" t="s">
        <v>61</v>
      </c>
      <c r="B55" s="7" t="s">
        <v>334</v>
      </c>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97" ht="127.5" x14ac:dyDescent="0.2">
      <c r="A56" s="6" t="s">
        <v>72</v>
      </c>
      <c r="B56" s="7" t="s">
        <v>251</v>
      </c>
      <c r="C56" s="7" t="s">
        <v>3276</v>
      </c>
      <c r="E56" s="7" t="s">
        <v>1354</v>
      </c>
      <c r="F56" s="7" t="s">
        <v>1808</v>
      </c>
      <c r="J56" s="7" t="s">
        <v>1808</v>
      </c>
      <c r="K56" s="7" t="s">
        <v>1795</v>
      </c>
      <c r="L56" s="7" t="s">
        <v>1358</v>
      </c>
      <c r="M56" s="7" t="s">
        <v>1791</v>
      </c>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CC56" s="7" t="s">
        <v>1792</v>
      </c>
      <c r="CE56" s="7" t="s">
        <v>334</v>
      </c>
      <c r="CF56" s="7">
        <v>1080</v>
      </c>
      <c r="CG56" s="7" t="s">
        <v>130</v>
      </c>
      <c r="CH56" s="7" t="s">
        <v>1815</v>
      </c>
      <c r="CQ56" s="7" t="s">
        <v>334</v>
      </c>
      <c r="CS56" s="7" t="s">
        <v>1472</v>
      </c>
    </row>
    <row r="57" spans="1:97" x14ac:dyDescent="0.2">
      <c r="A57" s="6" t="s">
        <v>16</v>
      </c>
      <c r="B57" s="7" t="s">
        <v>334</v>
      </c>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97" ht="38.25" x14ac:dyDescent="0.2">
      <c r="A58" s="6" t="s">
        <v>32</v>
      </c>
      <c r="B58" s="7" t="s">
        <v>251</v>
      </c>
      <c r="C58" s="7" t="s">
        <v>3277</v>
      </c>
      <c r="E58" s="7" t="s">
        <v>1354</v>
      </c>
      <c r="F58" s="7" t="s">
        <v>1808</v>
      </c>
      <c r="G58" s="7" t="s">
        <v>1808</v>
      </c>
      <c r="H58" s="7" t="s">
        <v>1808</v>
      </c>
      <c r="I58" s="7" t="s">
        <v>1808</v>
      </c>
      <c r="J58" s="7" t="s">
        <v>1808</v>
      </c>
      <c r="K58" s="7" t="s">
        <v>1805</v>
      </c>
      <c r="M58" s="7" t="s">
        <v>1807</v>
      </c>
      <c r="O58" s="7" t="s">
        <v>130</v>
      </c>
      <c r="P58" s="7" t="s">
        <v>1812</v>
      </c>
      <c r="Q58" s="7" t="s">
        <v>130</v>
      </c>
      <c r="R58" s="7" t="s">
        <v>1446</v>
      </c>
      <c r="S58" s="7" t="s">
        <v>130</v>
      </c>
      <c r="T58" s="7" t="s">
        <v>1446</v>
      </c>
      <c r="U58" s="7" t="s">
        <v>130</v>
      </c>
      <c r="V58" s="7" t="s">
        <v>1446</v>
      </c>
      <c r="W58" s="7" t="s">
        <v>130</v>
      </c>
      <c r="X58" s="7" t="s">
        <v>1446</v>
      </c>
      <c r="Y58" s="7" t="s">
        <v>130</v>
      </c>
      <c r="Z58" s="7" t="s">
        <v>1446</v>
      </c>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7" t="s">
        <v>130</v>
      </c>
      <c r="AZ58" s="7" t="s">
        <v>1446</v>
      </c>
      <c r="BA58" s="7" t="s">
        <v>1806</v>
      </c>
      <c r="CQ58" s="7" t="s">
        <v>334</v>
      </c>
    </row>
    <row r="59" spans="1:97" x14ac:dyDescent="0.2">
      <c r="A59" s="6" t="s">
        <v>60</v>
      </c>
      <c r="B59" s="7" t="s">
        <v>334</v>
      </c>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97" x14ac:dyDescent="0.2">
      <c r="A60" s="6" t="s">
        <v>39</v>
      </c>
      <c r="B60" s="7" t="s">
        <v>334</v>
      </c>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97" x14ac:dyDescent="0.2">
      <c r="A61" s="6" t="s">
        <v>40</v>
      </c>
      <c r="B61" s="7" t="s">
        <v>334</v>
      </c>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97" x14ac:dyDescent="0.2">
      <c r="A62" s="6" t="s">
        <v>44</v>
      </c>
      <c r="B62" s="7" t="s">
        <v>334</v>
      </c>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97" x14ac:dyDescent="0.2">
      <c r="A63" s="6" t="s">
        <v>58</v>
      </c>
      <c r="B63" s="7" t="s">
        <v>334</v>
      </c>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97" ht="25.5" x14ac:dyDescent="0.2">
      <c r="A64" s="6" t="s">
        <v>15</v>
      </c>
      <c r="B64" s="7" t="s">
        <v>251</v>
      </c>
      <c r="C64" s="7" t="s">
        <v>1804</v>
      </c>
      <c r="E64" s="7" t="s">
        <v>1354</v>
      </c>
      <c r="F64" s="7" t="s">
        <v>1794</v>
      </c>
      <c r="G64" s="7" t="s">
        <v>1794</v>
      </c>
      <c r="H64" s="7" t="s">
        <v>1794</v>
      </c>
      <c r="I64" s="7" t="s">
        <v>1794</v>
      </c>
      <c r="J64" s="7" t="s">
        <v>1794</v>
      </c>
      <c r="K64" s="7" t="s">
        <v>1805</v>
      </c>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97" x14ac:dyDescent="0.2">
      <c r="A65" s="21" t="s">
        <v>3357</v>
      </c>
      <c r="B65" s="7">
        <f t="shared" ref="B65:AG65" si="0">COUNTA(B3:B64)</f>
        <v>62</v>
      </c>
      <c r="C65" s="7">
        <f t="shared" si="0"/>
        <v>8</v>
      </c>
      <c r="D65" s="7">
        <f t="shared" si="0"/>
        <v>0</v>
      </c>
      <c r="E65" s="7">
        <f t="shared" si="0"/>
        <v>8</v>
      </c>
      <c r="F65" s="7">
        <f t="shared" si="0"/>
        <v>6</v>
      </c>
      <c r="G65" s="7">
        <f t="shared" si="0"/>
        <v>4</v>
      </c>
      <c r="H65" s="7">
        <f t="shared" si="0"/>
        <v>4</v>
      </c>
      <c r="I65" s="7">
        <f t="shared" si="0"/>
        <v>3</v>
      </c>
      <c r="J65" s="7">
        <f t="shared" si="0"/>
        <v>6</v>
      </c>
      <c r="K65" s="7">
        <f t="shared" si="0"/>
        <v>8</v>
      </c>
      <c r="L65" s="7">
        <f t="shared" si="0"/>
        <v>1</v>
      </c>
      <c r="M65" s="7">
        <f t="shared" si="0"/>
        <v>7</v>
      </c>
      <c r="N65" s="7">
        <f t="shared" si="0"/>
        <v>1</v>
      </c>
      <c r="O65" s="7">
        <f t="shared" si="0"/>
        <v>3</v>
      </c>
      <c r="P65" s="7">
        <f t="shared" si="0"/>
        <v>1</v>
      </c>
      <c r="Q65" s="7">
        <f t="shared" si="0"/>
        <v>2</v>
      </c>
      <c r="R65" s="7">
        <f t="shared" si="0"/>
        <v>1</v>
      </c>
      <c r="S65" s="7">
        <f t="shared" si="0"/>
        <v>3</v>
      </c>
      <c r="T65" s="7">
        <f t="shared" si="0"/>
        <v>1</v>
      </c>
      <c r="U65" s="7">
        <f t="shared" si="0"/>
        <v>3</v>
      </c>
      <c r="V65" s="7">
        <f t="shared" si="0"/>
        <v>2</v>
      </c>
      <c r="W65" s="7">
        <f t="shared" si="0"/>
        <v>3</v>
      </c>
      <c r="X65" s="7">
        <f t="shared" si="0"/>
        <v>2</v>
      </c>
      <c r="Y65" s="7">
        <f t="shared" si="0"/>
        <v>2</v>
      </c>
      <c r="Z65" s="7">
        <f t="shared" si="0"/>
        <v>1</v>
      </c>
      <c r="AA65" s="7">
        <f t="shared" si="0"/>
        <v>1</v>
      </c>
      <c r="AB65" s="7">
        <f t="shared" si="0"/>
        <v>1</v>
      </c>
      <c r="AC65" s="7">
        <f t="shared" si="0"/>
        <v>0</v>
      </c>
      <c r="AD65" s="7">
        <f t="shared" si="0"/>
        <v>0</v>
      </c>
      <c r="AE65" s="7">
        <f t="shared" si="0"/>
        <v>1</v>
      </c>
      <c r="AF65" s="7">
        <f t="shared" si="0"/>
        <v>1</v>
      </c>
      <c r="AG65" s="7">
        <f t="shared" si="0"/>
        <v>1</v>
      </c>
      <c r="AH65" s="7">
        <f t="shared" ref="AH65:BM65" si="1">COUNTA(AH3:AH64)</f>
        <v>1</v>
      </c>
      <c r="AI65" s="7">
        <f t="shared" si="1"/>
        <v>1</v>
      </c>
      <c r="AJ65" s="7">
        <f t="shared" si="1"/>
        <v>1</v>
      </c>
      <c r="AK65" s="7">
        <f t="shared" si="1"/>
        <v>0</v>
      </c>
      <c r="AL65" s="7">
        <f t="shared" si="1"/>
        <v>0</v>
      </c>
      <c r="AM65" s="7">
        <f t="shared" si="1"/>
        <v>1</v>
      </c>
      <c r="AN65" s="7">
        <f t="shared" si="1"/>
        <v>1</v>
      </c>
      <c r="AO65" s="7">
        <f t="shared" si="1"/>
        <v>0</v>
      </c>
      <c r="AP65" s="7">
        <f t="shared" si="1"/>
        <v>0</v>
      </c>
      <c r="AQ65" s="7">
        <f t="shared" si="1"/>
        <v>1</v>
      </c>
      <c r="AR65" s="7">
        <f t="shared" si="1"/>
        <v>1</v>
      </c>
      <c r="AS65" s="7">
        <f t="shared" si="1"/>
        <v>1</v>
      </c>
      <c r="AT65" s="7">
        <f t="shared" si="1"/>
        <v>1</v>
      </c>
      <c r="AU65" s="7">
        <f t="shared" si="1"/>
        <v>1</v>
      </c>
      <c r="AV65" s="7">
        <f t="shared" si="1"/>
        <v>1</v>
      </c>
      <c r="AW65" s="7">
        <f t="shared" si="1"/>
        <v>0</v>
      </c>
      <c r="AX65" s="7">
        <f t="shared" si="1"/>
        <v>0</v>
      </c>
      <c r="AY65" s="7">
        <f t="shared" si="1"/>
        <v>2</v>
      </c>
      <c r="AZ65" s="7">
        <f t="shared" si="1"/>
        <v>1</v>
      </c>
      <c r="BA65" s="7">
        <f t="shared" si="1"/>
        <v>2</v>
      </c>
      <c r="BB65" s="7">
        <f t="shared" si="1"/>
        <v>0</v>
      </c>
      <c r="BC65" s="7">
        <f t="shared" si="1"/>
        <v>1</v>
      </c>
      <c r="BD65" s="7">
        <f t="shared" si="1"/>
        <v>0</v>
      </c>
      <c r="BE65" s="7">
        <f t="shared" si="1"/>
        <v>1</v>
      </c>
      <c r="BF65" s="7">
        <f t="shared" si="1"/>
        <v>0</v>
      </c>
      <c r="BG65" s="7">
        <f t="shared" si="1"/>
        <v>1</v>
      </c>
      <c r="BH65" s="7">
        <f t="shared" si="1"/>
        <v>1</v>
      </c>
      <c r="BI65" s="7">
        <f t="shared" si="1"/>
        <v>0</v>
      </c>
      <c r="BJ65" s="7">
        <f t="shared" si="1"/>
        <v>1</v>
      </c>
      <c r="BK65" s="7">
        <f t="shared" si="1"/>
        <v>0</v>
      </c>
      <c r="BL65" s="7">
        <f t="shared" si="1"/>
        <v>0</v>
      </c>
      <c r="BM65" s="7">
        <f t="shared" si="1"/>
        <v>1</v>
      </c>
      <c r="BN65" s="7">
        <f t="shared" ref="BN65:CS65" si="2">COUNTA(BN3:BN64)</f>
        <v>0</v>
      </c>
      <c r="BO65" s="7">
        <f t="shared" si="2"/>
        <v>0</v>
      </c>
      <c r="BP65" s="7">
        <f t="shared" si="2"/>
        <v>0</v>
      </c>
      <c r="BQ65" s="7">
        <f t="shared" si="2"/>
        <v>0</v>
      </c>
      <c r="BR65" s="7">
        <f t="shared" si="2"/>
        <v>0</v>
      </c>
      <c r="BS65" s="7">
        <f t="shared" si="2"/>
        <v>0</v>
      </c>
      <c r="BT65" s="7">
        <f t="shared" si="2"/>
        <v>0</v>
      </c>
      <c r="BU65" s="7">
        <f t="shared" si="2"/>
        <v>0</v>
      </c>
      <c r="BV65" s="7">
        <f t="shared" si="2"/>
        <v>0</v>
      </c>
      <c r="BW65" s="7">
        <f t="shared" si="2"/>
        <v>0</v>
      </c>
      <c r="BX65" s="7">
        <f t="shared" si="2"/>
        <v>0</v>
      </c>
      <c r="BY65" s="7">
        <f t="shared" si="2"/>
        <v>0</v>
      </c>
      <c r="BZ65" s="7">
        <f t="shared" si="2"/>
        <v>1</v>
      </c>
      <c r="CA65" s="7">
        <f t="shared" si="2"/>
        <v>0</v>
      </c>
      <c r="CB65" s="7">
        <f t="shared" si="2"/>
        <v>2</v>
      </c>
      <c r="CC65" s="7">
        <f t="shared" si="2"/>
        <v>3</v>
      </c>
      <c r="CD65" s="7">
        <f t="shared" si="2"/>
        <v>0</v>
      </c>
      <c r="CE65" s="7">
        <f t="shared" si="2"/>
        <v>3</v>
      </c>
      <c r="CF65" s="7">
        <f t="shared" si="2"/>
        <v>2</v>
      </c>
      <c r="CG65" s="7">
        <f t="shared" si="2"/>
        <v>3</v>
      </c>
      <c r="CH65" s="7">
        <f t="shared" si="2"/>
        <v>2</v>
      </c>
      <c r="CI65" s="7">
        <f t="shared" si="2"/>
        <v>0</v>
      </c>
      <c r="CJ65" s="7">
        <f t="shared" si="2"/>
        <v>0</v>
      </c>
      <c r="CK65" s="7">
        <f t="shared" si="2"/>
        <v>0</v>
      </c>
      <c r="CL65" s="7">
        <f t="shared" si="2"/>
        <v>0</v>
      </c>
      <c r="CM65" s="7">
        <f t="shared" si="2"/>
        <v>0</v>
      </c>
      <c r="CN65" s="7">
        <f t="shared" si="2"/>
        <v>0</v>
      </c>
      <c r="CO65" s="7">
        <f t="shared" si="2"/>
        <v>0</v>
      </c>
      <c r="CP65" s="7">
        <f t="shared" si="2"/>
        <v>0</v>
      </c>
      <c r="CQ65" s="7">
        <f t="shared" si="2"/>
        <v>7</v>
      </c>
      <c r="CR65" s="7">
        <f t="shared" si="2"/>
        <v>0</v>
      </c>
      <c r="CS65" s="7">
        <f t="shared" si="2"/>
        <v>2</v>
      </c>
    </row>
  </sheetData>
  <autoFilter ref="A2:CS64" xr:uid="{92905A7A-0254-4011-9DA3-F3A3A7C1A2FE}"/>
  <sortState xmlns:xlrd2="http://schemas.microsoft.com/office/spreadsheetml/2017/richdata2" ref="A3:CS64">
    <sortCondition ref="A3:A64"/>
  </sortState>
  <hyperlinks>
    <hyperlink ref="A1" location="Index!A1" display="Back to Index" xr:uid="{00000000-0004-0000-09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4" style="6" customWidth="1"/>
    <col min="2" max="2" width="40.7109375" style="7" customWidth="1"/>
    <col min="3" max="41" width="30.7109375" style="7" customWidth="1"/>
    <col min="42" max="42" width="75.7109375" style="7" customWidth="1"/>
    <col min="43" max="47" width="30.7109375" style="7" customWidth="1"/>
    <col min="48" max="16384" width="15.7109375" style="6"/>
  </cols>
  <sheetData>
    <row r="1" spans="1:47" s="9" customFormat="1" x14ac:dyDescent="0.2">
      <c r="A1" s="12" t="s">
        <v>1984</v>
      </c>
      <c r="B1" s="8" t="s">
        <v>1816</v>
      </c>
      <c r="C1" s="8" t="s">
        <v>1817</v>
      </c>
      <c r="D1" s="8" t="s">
        <v>1818</v>
      </c>
      <c r="E1" s="8" t="s">
        <v>1819</v>
      </c>
      <c r="F1" s="8" t="s">
        <v>1820</v>
      </c>
      <c r="G1" s="8" t="s">
        <v>1821</v>
      </c>
      <c r="H1" s="8" t="s">
        <v>1822</v>
      </c>
      <c r="I1" s="8" t="s">
        <v>1823</v>
      </c>
      <c r="J1" s="8" t="s">
        <v>1824</v>
      </c>
      <c r="K1" s="8" t="s">
        <v>1825</v>
      </c>
      <c r="L1" s="8" t="s">
        <v>1826</v>
      </c>
      <c r="M1" s="8" t="s">
        <v>1827</v>
      </c>
      <c r="N1" s="8" t="s">
        <v>1828</v>
      </c>
      <c r="O1" s="8" t="s">
        <v>1829</v>
      </c>
      <c r="P1" s="8" t="s">
        <v>1830</v>
      </c>
      <c r="Q1" s="8" t="s">
        <v>1831</v>
      </c>
      <c r="R1" s="8" t="s">
        <v>1832</v>
      </c>
      <c r="S1" s="8" t="s">
        <v>1833</v>
      </c>
      <c r="T1" s="8" t="s">
        <v>1834</v>
      </c>
      <c r="U1" s="8" t="s">
        <v>1835</v>
      </c>
      <c r="V1" s="8" t="s">
        <v>1836</v>
      </c>
      <c r="W1" s="8" t="s">
        <v>1837</v>
      </c>
      <c r="X1" s="8" t="s">
        <v>1838</v>
      </c>
      <c r="Y1" s="8" t="s">
        <v>1839</v>
      </c>
      <c r="Z1" s="8" t="s">
        <v>1840</v>
      </c>
      <c r="AA1" s="8" t="s">
        <v>1841</v>
      </c>
      <c r="AB1" s="8" t="s">
        <v>1842</v>
      </c>
      <c r="AC1" s="8" t="s">
        <v>1843</v>
      </c>
      <c r="AD1" s="8" t="s">
        <v>1844</v>
      </c>
      <c r="AE1" s="8" t="s">
        <v>1845</v>
      </c>
      <c r="AF1" s="8" t="s">
        <v>1846</v>
      </c>
      <c r="AG1" s="8" t="s">
        <v>1847</v>
      </c>
      <c r="AH1" s="8" t="s">
        <v>1848</v>
      </c>
      <c r="AI1" s="8" t="s">
        <v>1849</v>
      </c>
      <c r="AJ1" s="8" t="s">
        <v>1850</v>
      </c>
      <c r="AK1" s="8" t="s">
        <v>1851</v>
      </c>
      <c r="AL1" s="8" t="s">
        <v>1852</v>
      </c>
      <c r="AM1" s="8" t="s">
        <v>1853</v>
      </c>
      <c r="AN1" s="8" t="s">
        <v>1854</v>
      </c>
      <c r="AO1" s="8" t="s">
        <v>1855</v>
      </c>
      <c r="AP1" s="8" t="s">
        <v>1856</v>
      </c>
      <c r="AQ1" s="8" t="s">
        <v>1857</v>
      </c>
      <c r="AR1" s="8" t="s">
        <v>1858</v>
      </c>
      <c r="AS1" s="8" t="s">
        <v>1859</v>
      </c>
      <c r="AT1" s="8" t="s">
        <v>1860</v>
      </c>
      <c r="AU1" s="8" t="s">
        <v>1861</v>
      </c>
    </row>
    <row r="2" spans="1:47" s="9" customFormat="1" ht="51" x14ac:dyDescent="0.2">
      <c r="A2" s="9" t="s">
        <v>2713</v>
      </c>
      <c r="B2" s="17" t="s">
        <v>2661</v>
      </c>
      <c r="C2" s="8" t="s">
        <v>2662</v>
      </c>
      <c r="D2" s="8" t="s">
        <v>2663</v>
      </c>
      <c r="E2" s="8" t="s">
        <v>2664</v>
      </c>
      <c r="F2" s="8" t="s">
        <v>2665</v>
      </c>
      <c r="G2" s="8" t="s">
        <v>2666</v>
      </c>
      <c r="H2" s="8" t="s">
        <v>2667</v>
      </c>
      <c r="I2" s="8" t="s">
        <v>2668</v>
      </c>
      <c r="J2" s="8" t="s">
        <v>2669</v>
      </c>
      <c r="K2" s="8" t="s">
        <v>2670</v>
      </c>
      <c r="L2" s="8" t="s">
        <v>2671</v>
      </c>
      <c r="M2" s="8" t="s">
        <v>2672</v>
      </c>
      <c r="N2" s="8" t="s">
        <v>2673</v>
      </c>
      <c r="O2" s="8" t="s">
        <v>2674</v>
      </c>
      <c r="P2" s="8" t="s">
        <v>2675</v>
      </c>
      <c r="Q2" s="8" t="s">
        <v>2676</v>
      </c>
      <c r="R2" s="8" t="s">
        <v>2677</v>
      </c>
      <c r="S2" s="17" t="s">
        <v>2678</v>
      </c>
      <c r="T2" s="8" t="s">
        <v>2679</v>
      </c>
      <c r="U2" s="8" t="s">
        <v>2680</v>
      </c>
      <c r="V2" s="17" t="s">
        <v>2681</v>
      </c>
      <c r="W2" s="17" t="s">
        <v>1994</v>
      </c>
      <c r="X2" s="17" t="s">
        <v>1995</v>
      </c>
      <c r="Y2" s="17" t="s">
        <v>2682</v>
      </c>
      <c r="Z2" s="17" t="s">
        <v>2683</v>
      </c>
      <c r="AA2" s="17" t="s">
        <v>2684</v>
      </c>
      <c r="AB2" s="17" t="s">
        <v>2685</v>
      </c>
      <c r="AC2" s="17" t="s">
        <v>2686</v>
      </c>
      <c r="AD2" s="17" t="s">
        <v>2687</v>
      </c>
      <c r="AE2" s="17" t="s">
        <v>2688</v>
      </c>
      <c r="AF2" s="17" t="s">
        <v>2689</v>
      </c>
      <c r="AG2" s="17" t="s">
        <v>2690</v>
      </c>
      <c r="AH2" s="17" t="s">
        <v>2691</v>
      </c>
      <c r="AI2" s="8" t="s">
        <v>2692</v>
      </c>
      <c r="AJ2" s="8" t="s">
        <v>2693</v>
      </c>
      <c r="AK2" s="8" t="s">
        <v>2694</v>
      </c>
      <c r="AL2" s="8" t="s">
        <v>2695</v>
      </c>
      <c r="AM2" s="8" t="s">
        <v>2696</v>
      </c>
      <c r="AN2" s="8" t="s">
        <v>2697</v>
      </c>
      <c r="AO2" s="8" t="s">
        <v>2698</v>
      </c>
      <c r="AP2" s="17" t="s">
        <v>1915</v>
      </c>
      <c r="AQ2" s="17" t="s">
        <v>2699</v>
      </c>
      <c r="AR2" s="17" t="s">
        <v>2700</v>
      </c>
      <c r="AS2" s="8" t="s">
        <v>2701</v>
      </c>
      <c r="AT2" s="17" t="s">
        <v>2702</v>
      </c>
      <c r="AU2" s="17" t="s">
        <v>2703</v>
      </c>
    </row>
    <row r="3" spans="1:47" ht="25.5" x14ac:dyDescent="0.2">
      <c r="A3" s="6" t="s">
        <v>69</v>
      </c>
      <c r="B3" s="7" t="s">
        <v>3318</v>
      </c>
      <c r="C3" s="14"/>
      <c r="D3" s="14"/>
      <c r="E3" s="14"/>
      <c r="F3" s="14"/>
      <c r="G3" s="14"/>
      <c r="H3" s="14"/>
      <c r="I3" s="14"/>
      <c r="J3" s="14"/>
      <c r="L3" s="15">
        <v>410.4</v>
      </c>
      <c r="M3" s="14"/>
      <c r="N3" s="14"/>
      <c r="P3" s="14"/>
      <c r="Q3" s="14"/>
      <c r="R3" s="14"/>
      <c r="V3" s="7" t="s">
        <v>358</v>
      </c>
      <c r="W3" s="7">
        <v>365</v>
      </c>
      <c r="Y3" s="7" t="s">
        <v>3329</v>
      </c>
      <c r="AA3" s="7" t="s">
        <v>251</v>
      </c>
      <c r="AB3" s="7" t="s">
        <v>251</v>
      </c>
      <c r="AC3" s="7" t="s">
        <v>334</v>
      </c>
      <c r="AD3" s="7" t="s">
        <v>334</v>
      </c>
      <c r="AG3" s="14">
        <v>8000</v>
      </c>
      <c r="AH3" s="14">
        <v>8000</v>
      </c>
      <c r="AS3" s="7" t="s">
        <v>1935</v>
      </c>
      <c r="AT3" s="7" t="s">
        <v>334</v>
      </c>
    </row>
    <row r="4" spans="1:47" x14ac:dyDescent="0.2">
      <c r="A4" s="6" t="s">
        <v>45</v>
      </c>
      <c r="B4" s="7" t="s">
        <v>356</v>
      </c>
      <c r="C4" s="14"/>
      <c r="D4" s="14"/>
      <c r="E4" s="14"/>
      <c r="F4" s="14"/>
      <c r="G4" s="14"/>
      <c r="H4" s="14"/>
      <c r="I4" s="14"/>
      <c r="J4" s="14"/>
      <c r="L4" s="14"/>
      <c r="M4" s="14"/>
      <c r="N4" s="14"/>
      <c r="O4" s="14"/>
      <c r="P4" s="14"/>
      <c r="Q4" s="14"/>
      <c r="R4" s="14"/>
      <c r="AG4" s="14"/>
      <c r="AH4" s="14"/>
    </row>
    <row r="5" spans="1:47" ht="25.5" x14ac:dyDescent="0.2">
      <c r="A5" s="6" t="s">
        <v>18</v>
      </c>
      <c r="B5" s="7" t="s">
        <v>1871</v>
      </c>
      <c r="C5" s="14"/>
      <c r="D5" s="14"/>
      <c r="E5" s="14"/>
      <c r="F5" s="14"/>
      <c r="G5" s="14"/>
      <c r="H5" s="14"/>
      <c r="I5" s="14"/>
      <c r="J5" s="14"/>
      <c r="L5" s="14"/>
      <c r="M5" s="14"/>
      <c r="N5" s="14"/>
      <c r="O5" s="14"/>
      <c r="P5" s="14"/>
      <c r="Q5" s="14"/>
      <c r="R5" s="14"/>
      <c r="V5" s="7" t="s">
        <v>334</v>
      </c>
      <c r="Y5" s="7" t="s">
        <v>3329</v>
      </c>
      <c r="AA5" s="7" t="s">
        <v>251</v>
      </c>
      <c r="AB5" s="7" t="s">
        <v>251</v>
      </c>
      <c r="AC5" s="7" t="s">
        <v>251</v>
      </c>
      <c r="AD5" s="7" t="s">
        <v>334</v>
      </c>
      <c r="AG5" s="14">
        <v>11650</v>
      </c>
      <c r="AH5" s="14">
        <v>11650</v>
      </c>
      <c r="AS5" s="7" t="s">
        <v>1358</v>
      </c>
      <c r="AT5" s="7" t="s">
        <v>334</v>
      </c>
    </row>
    <row r="6" spans="1:47" x14ac:dyDescent="0.2">
      <c r="A6" s="6" t="s">
        <v>30</v>
      </c>
      <c r="B6" s="7" t="s">
        <v>356</v>
      </c>
      <c r="C6" s="14"/>
      <c r="D6" s="14"/>
      <c r="E6" s="14"/>
      <c r="F6" s="14"/>
      <c r="G6" s="14"/>
      <c r="H6" s="14"/>
      <c r="I6" s="14"/>
      <c r="J6" s="14"/>
      <c r="L6" s="14"/>
      <c r="M6" s="14"/>
      <c r="N6" s="14"/>
      <c r="O6" s="14"/>
      <c r="P6" s="14"/>
      <c r="Q6" s="14"/>
      <c r="R6" s="14"/>
      <c r="AG6" s="14"/>
      <c r="AH6" s="14"/>
    </row>
    <row r="7" spans="1:47" ht="25.5" x14ac:dyDescent="0.2">
      <c r="A7" s="6" t="s">
        <v>66</v>
      </c>
      <c r="B7" s="7" t="s">
        <v>3315</v>
      </c>
      <c r="C7" s="14"/>
      <c r="D7" s="14"/>
      <c r="E7" s="14"/>
      <c r="F7" s="14"/>
      <c r="G7" s="14"/>
      <c r="H7" s="14"/>
      <c r="I7" s="14"/>
      <c r="J7" s="14"/>
      <c r="M7" s="14"/>
      <c r="N7" s="14"/>
      <c r="P7" s="14"/>
      <c r="Q7" s="14"/>
      <c r="R7" s="14"/>
      <c r="T7" s="7">
        <v>10</v>
      </c>
      <c r="V7" s="7" t="s">
        <v>334</v>
      </c>
      <c r="Y7" s="7" t="s">
        <v>356</v>
      </c>
      <c r="AA7" s="7" t="s">
        <v>251</v>
      </c>
      <c r="AB7" s="7" t="s">
        <v>251</v>
      </c>
      <c r="AC7" s="7" t="s">
        <v>251</v>
      </c>
      <c r="AD7" s="7" t="s">
        <v>334</v>
      </c>
      <c r="AG7" s="14">
        <v>2000</v>
      </c>
      <c r="AH7" s="14">
        <v>2000</v>
      </c>
      <c r="AS7" s="7" t="s">
        <v>1877</v>
      </c>
      <c r="AT7" s="7" t="s">
        <v>334</v>
      </c>
    </row>
    <row r="8" spans="1:47" ht="25.5" x14ac:dyDescent="0.2">
      <c r="A8" s="6" t="s">
        <v>34</v>
      </c>
      <c r="B8" s="7" t="s">
        <v>3295</v>
      </c>
      <c r="C8" s="14"/>
      <c r="D8" s="14"/>
      <c r="E8" s="14"/>
      <c r="F8" s="14"/>
      <c r="G8" s="14"/>
      <c r="H8" s="14"/>
      <c r="I8" s="14"/>
      <c r="J8" s="14">
        <v>500</v>
      </c>
      <c r="L8" s="14">
        <v>816</v>
      </c>
      <c r="M8" s="14"/>
      <c r="N8" s="14"/>
      <c r="O8" s="14"/>
      <c r="P8" s="14"/>
      <c r="Q8" s="14"/>
      <c r="R8" s="14"/>
      <c r="V8" s="7" t="s">
        <v>358</v>
      </c>
      <c r="W8" s="7">
        <v>180</v>
      </c>
      <c r="Y8" s="7" t="s">
        <v>1865</v>
      </c>
      <c r="AA8" s="7" t="s">
        <v>251</v>
      </c>
      <c r="AB8" s="7" t="s">
        <v>251</v>
      </c>
      <c r="AC8" s="7" t="s">
        <v>251</v>
      </c>
      <c r="AD8" s="7" t="s">
        <v>334</v>
      </c>
      <c r="AT8" s="7" t="s">
        <v>334</v>
      </c>
    </row>
    <row r="9" spans="1:47" ht="25.5" x14ac:dyDescent="0.2">
      <c r="A9" s="6" t="s">
        <v>31</v>
      </c>
      <c r="B9" s="7" t="s">
        <v>1868</v>
      </c>
      <c r="C9" s="14"/>
      <c r="D9" s="14"/>
      <c r="E9" s="14"/>
      <c r="F9" s="14"/>
      <c r="G9" s="14"/>
      <c r="H9" s="14"/>
      <c r="I9" s="14"/>
      <c r="J9" s="14"/>
      <c r="L9" s="14"/>
      <c r="M9" s="14"/>
      <c r="N9" s="14"/>
      <c r="O9" s="14"/>
      <c r="P9" s="14"/>
      <c r="Q9" s="14"/>
      <c r="R9" s="14"/>
      <c r="AG9" s="14"/>
      <c r="AH9" s="14"/>
      <c r="AI9" s="7" t="s">
        <v>3330</v>
      </c>
      <c r="AK9" s="7" t="s">
        <v>1863</v>
      </c>
      <c r="AN9" s="7" t="s">
        <v>1889</v>
      </c>
      <c r="AS9" s="7" t="s">
        <v>1890</v>
      </c>
      <c r="AT9" s="7" t="s">
        <v>251</v>
      </c>
      <c r="AU9" s="7" t="s">
        <v>1891</v>
      </c>
    </row>
    <row r="10" spans="1:47" ht="25.5" x14ac:dyDescent="0.2">
      <c r="A10" s="6" t="s">
        <v>46</v>
      </c>
      <c r="B10" s="7" t="s">
        <v>3304</v>
      </c>
      <c r="C10" s="14">
        <v>125</v>
      </c>
      <c r="D10" s="14">
        <v>125</v>
      </c>
      <c r="E10" s="14"/>
      <c r="F10" s="14"/>
      <c r="G10" s="14"/>
      <c r="H10" s="14"/>
      <c r="I10" s="14"/>
      <c r="J10" s="14"/>
      <c r="L10" s="14"/>
      <c r="M10" s="14"/>
      <c r="N10" s="14"/>
      <c r="O10" s="14"/>
      <c r="P10" s="14">
        <v>99000</v>
      </c>
      <c r="Q10" s="14"/>
      <c r="R10" s="14"/>
      <c r="T10" s="7">
        <v>10</v>
      </c>
      <c r="U10" s="7">
        <v>10</v>
      </c>
      <c r="AG10" s="14"/>
      <c r="AH10" s="14"/>
      <c r="AP10" s="7" t="s">
        <v>1906</v>
      </c>
      <c r="AS10" s="7" t="s">
        <v>1907</v>
      </c>
      <c r="AT10" s="7" t="s">
        <v>334</v>
      </c>
    </row>
    <row r="11" spans="1:47" ht="25.5" x14ac:dyDescent="0.2">
      <c r="A11" s="6" t="s">
        <v>42</v>
      </c>
      <c r="B11" s="7" t="s">
        <v>3301</v>
      </c>
      <c r="C11" s="14"/>
      <c r="D11" s="14"/>
      <c r="E11" s="14"/>
      <c r="F11" s="14"/>
      <c r="G11" s="14"/>
      <c r="H11" s="14"/>
      <c r="I11" s="14"/>
      <c r="J11" s="14">
        <v>500</v>
      </c>
      <c r="L11" s="14"/>
      <c r="M11" s="14"/>
      <c r="N11" s="14"/>
      <c r="O11" s="14"/>
      <c r="P11" s="14"/>
      <c r="Q11" s="14"/>
      <c r="R11" s="14"/>
      <c r="V11" s="7" t="s">
        <v>334</v>
      </c>
      <c r="Y11" s="7" t="s">
        <v>3329</v>
      </c>
      <c r="AA11" s="7" t="s">
        <v>251</v>
      </c>
      <c r="AB11" s="7" t="s">
        <v>251</v>
      </c>
      <c r="AC11" s="7" t="s">
        <v>251</v>
      </c>
      <c r="AD11" s="7" t="s">
        <v>334</v>
      </c>
      <c r="AG11" s="14">
        <v>6000</v>
      </c>
      <c r="AH11" s="14">
        <v>6000</v>
      </c>
      <c r="AI11" s="7" t="s">
        <v>1333</v>
      </c>
      <c r="AK11" s="7" t="s">
        <v>1887</v>
      </c>
      <c r="AT11" s="7" t="s">
        <v>334</v>
      </c>
    </row>
    <row r="12" spans="1:47" ht="38.25" x14ac:dyDescent="0.2">
      <c r="A12" s="6" t="s">
        <v>33</v>
      </c>
      <c r="B12" s="7" t="s">
        <v>3294</v>
      </c>
      <c r="C12" s="14"/>
      <c r="D12" s="14"/>
      <c r="E12" s="14"/>
      <c r="F12" s="14"/>
      <c r="G12" s="14"/>
      <c r="H12" s="14"/>
      <c r="I12" s="14"/>
      <c r="J12" s="14"/>
      <c r="L12" s="14"/>
      <c r="M12" s="14"/>
      <c r="N12" s="14"/>
      <c r="O12" s="14"/>
      <c r="P12" s="14"/>
      <c r="Q12" s="14"/>
      <c r="R12" s="14"/>
      <c r="V12" s="7" t="s">
        <v>334</v>
      </c>
      <c r="Y12" s="7" t="s">
        <v>3329</v>
      </c>
      <c r="AA12" s="7" t="s">
        <v>251</v>
      </c>
      <c r="AB12" s="7" t="s">
        <v>251</v>
      </c>
      <c r="AC12" s="7" t="s">
        <v>251</v>
      </c>
      <c r="AD12" s="7" t="s">
        <v>334</v>
      </c>
      <c r="AG12" s="15">
        <v>6940.45</v>
      </c>
      <c r="AH12" s="15">
        <v>6940.45</v>
      </c>
      <c r="AI12" s="7" t="s">
        <v>3332</v>
      </c>
      <c r="AJ12" s="7" t="s">
        <v>1894</v>
      </c>
      <c r="AK12" s="7" t="s">
        <v>1895</v>
      </c>
      <c r="AO12" s="7" t="s">
        <v>1896</v>
      </c>
    </row>
    <row r="13" spans="1:47" ht="38.25" x14ac:dyDescent="0.2">
      <c r="A13" s="6" t="s">
        <v>55</v>
      </c>
      <c r="B13" s="7" t="s">
        <v>3309</v>
      </c>
      <c r="C13" s="14"/>
      <c r="D13" s="14"/>
      <c r="E13" s="14"/>
      <c r="F13" s="14"/>
      <c r="G13" s="14"/>
      <c r="H13" s="14"/>
      <c r="I13" s="14"/>
      <c r="J13" s="14"/>
      <c r="M13" s="14"/>
      <c r="N13" s="14"/>
      <c r="P13" s="14"/>
      <c r="Q13" s="14"/>
      <c r="R13" s="14"/>
      <c r="T13" s="7">
        <v>10</v>
      </c>
      <c r="U13" s="7">
        <v>10</v>
      </c>
      <c r="V13" s="7" t="s">
        <v>334</v>
      </c>
      <c r="Y13" s="7" t="s">
        <v>3329</v>
      </c>
      <c r="AA13" s="7" t="s">
        <v>251</v>
      </c>
      <c r="AB13" s="7" t="s">
        <v>251</v>
      </c>
      <c r="AC13" s="7" t="s">
        <v>251</v>
      </c>
      <c r="AD13" s="7" t="s">
        <v>251</v>
      </c>
      <c r="AE13" s="7" t="s">
        <v>130</v>
      </c>
      <c r="AF13" s="7" t="s">
        <v>1917</v>
      </c>
      <c r="AG13" s="14">
        <v>4000</v>
      </c>
      <c r="AH13" s="14">
        <v>8000</v>
      </c>
      <c r="AI13" s="7" t="s">
        <v>1333</v>
      </c>
      <c r="AK13" s="7" t="s">
        <v>1863</v>
      </c>
      <c r="AN13" s="7" t="s">
        <v>1918</v>
      </c>
      <c r="AS13" s="7" t="s">
        <v>1919</v>
      </c>
      <c r="AT13" s="7" t="s">
        <v>334</v>
      </c>
    </row>
    <row r="14" spans="1:47" ht="51" x14ac:dyDescent="0.2">
      <c r="A14" s="6" t="s">
        <v>48</v>
      </c>
      <c r="B14" s="7" t="s">
        <v>3305</v>
      </c>
      <c r="C14" s="14"/>
      <c r="D14" s="14"/>
      <c r="E14" s="14"/>
      <c r="F14" s="14"/>
      <c r="G14" s="14"/>
      <c r="H14" s="14"/>
      <c r="I14" s="14"/>
      <c r="J14" s="14">
        <v>250</v>
      </c>
      <c r="L14" s="14"/>
      <c r="M14" s="14"/>
      <c r="N14" s="14">
        <v>50</v>
      </c>
      <c r="O14" s="14"/>
      <c r="P14" s="14"/>
      <c r="Q14" s="14"/>
      <c r="R14" s="14">
        <v>75</v>
      </c>
      <c r="AG14" s="14"/>
      <c r="AH14" s="14"/>
      <c r="AI14" s="7" t="s">
        <v>130</v>
      </c>
      <c r="AJ14" s="7" t="s">
        <v>1908</v>
      </c>
      <c r="AK14" s="7" t="s">
        <v>380</v>
      </c>
      <c r="AO14" s="7" t="s">
        <v>1909</v>
      </c>
      <c r="AR14" s="7" t="s">
        <v>1910</v>
      </c>
      <c r="AS14" s="7" t="s">
        <v>1911</v>
      </c>
      <c r="AT14" s="7" t="s">
        <v>334</v>
      </c>
    </row>
    <row r="15" spans="1:47" ht="25.5" x14ac:dyDescent="0.2">
      <c r="A15" s="6" t="s">
        <v>57</v>
      </c>
      <c r="B15" s="7" t="s">
        <v>3292</v>
      </c>
      <c r="C15" s="14"/>
      <c r="D15" s="14"/>
      <c r="E15" s="14"/>
      <c r="F15" s="14"/>
      <c r="G15" s="14"/>
      <c r="H15" s="14"/>
      <c r="I15" s="14"/>
      <c r="J15" s="14"/>
      <c r="M15" s="14"/>
      <c r="N15" s="14"/>
      <c r="P15" s="14"/>
      <c r="Q15" s="14"/>
      <c r="R15" s="14"/>
      <c r="V15" s="7" t="s">
        <v>358</v>
      </c>
      <c r="W15" s="7">
        <v>180</v>
      </c>
      <c r="Y15" s="7" t="s">
        <v>3329</v>
      </c>
      <c r="AA15" s="7" t="s">
        <v>251</v>
      </c>
      <c r="AB15" s="7" t="s">
        <v>251</v>
      </c>
      <c r="AC15" s="7" t="s">
        <v>251</v>
      </c>
      <c r="AD15" s="7" t="s">
        <v>334</v>
      </c>
      <c r="AG15" s="14">
        <v>3409</v>
      </c>
      <c r="AH15" s="14">
        <v>10226</v>
      </c>
      <c r="AI15" s="7" t="s">
        <v>1333</v>
      </c>
      <c r="AK15" s="7" t="s">
        <v>1866</v>
      </c>
      <c r="AT15" s="7" t="s">
        <v>334</v>
      </c>
    </row>
    <row r="16" spans="1:47" x14ac:dyDescent="0.2">
      <c r="A16" s="6" t="s">
        <v>54</v>
      </c>
      <c r="B16" s="7" t="s">
        <v>1915</v>
      </c>
      <c r="C16" s="14"/>
      <c r="D16" s="14"/>
      <c r="E16" s="14"/>
      <c r="F16" s="14"/>
      <c r="G16" s="14"/>
      <c r="H16" s="14"/>
      <c r="I16" s="14"/>
      <c r="J16" s="14"/>
      <c r="M16" s="14"/>
      <c r="N16" s="14"/>
      <c r="P16" s="14"/>
      <c r="Q16" s="14"/>
      <c r="R16" s="14"/>
      <c r="AG16" s="14"/>
      <c r="AH16" s="14"/>
      <c r="AP16" s="7" t="s">
        <v>1916</v>
      </c>
      <c r="AT16" s="7" t="s">
        <v>334</v>
      </c>
    </row>
    <row r="17" spans="1:47" ht="25.5" x14ac:dyDescent="0.2">
      <c r="A17" s="6" t="s">
        <v>23</v>
      </c>
      <c r="B17" s="7" t="s">
        <v>3291</v>
      </c>
      <c r="C17" s="14"/>
      <c r="D17" s="14"/>
      <c r="E17" s="14"/>
      <c r="F17" s="14"/>
      <c r="G17" s="14"/>
      <c r="H17" s="14"/>
      <c r="I17" s="14"/>
      <c r="J17" s="14"/>
      <c r="L17" s="14"/>
      <c r="M17" s="14"/>
      <c r="N17" s="14"/>
      <c r="O17" s="14"/>
      <c r="P17" s="14"/>
      <c r="Q17" s="14"/>
      <c r="R17" s="14"/>
      <c r="V17" s="7" t="s">
        <v>334</v>
      </c>
      <c r="Y17" s="7" t="s">
        <v>1865</v>
      </c>
      <c r="AA17" s="7" t="s">
        <v>334</v>
      </c>
      <c r="AB17" s="7" t="s">
        <v>334</v>
      </c>
      <c r="AC17" s="7" t="s">
        <v>251</v>
      </c>
      <c r="AD17" s="7" t="s">
        <v>334</v>
      </c>
      <c r="AG17" s="14">
        <v>13000</v>
      </c>
      <c r="AH17" s="14"/>
      <c r="AT17" s="7" t="s">
        <v>251</v>
      </c>
      <c r="AU17" s="7" t="s">
        <v>1878</v>
      </c>
    </row>
    <row r="18" spans="1:47" x14ac:dyDescent="0.2">
      <c r="A18" s="6" t="s">
        <v>27</v>
      </c>
      <c r="B18" s="7" t="s">
        <v>356</v>
      </c>
      <c r="C18" s="14"/>
      <c r="D18" s="14"/>
      <c r="E18" s="14"/>
      <c r="F18" s="14"/>
      <c r="G18" s="14"/>
      <c r="H18" s="14"/>
      <c r="I18" s="14"/>
      <c r="J18" s="14"/>
      <c r="L18" s="14"/>
      <c r="M18" s="14"/>
      <c r="N18" s="14"/>
      <c r="O18" s="14"/>
      <c r="P18" s="14"/>
      <c r="Q18" s="14"/>
      <c r="R18" s="14"/>
      <c r="AG18" s="14"/>
      <c r="AH18" s="14"/>
    </row>
    <row r="19" spans="1:47" ht="102" x14ac:dyDescent="0.2">
      <c r="A19" s="6" t="s">
        <v>63</v>
      </c>
      <c r="B19" s="7" t="s">
        <v>1930</v>
      </c>
      <c r="C19" s="14"/>
      <c r="D19" s="14"/>
      <c r="E19" s="14"/>
      <c r="F19" s="14"/>
      <c r="G19" s="14"/>
      <c r="H19" s="14"/>
      <c r="I19" s="14"/>
      <c r="M19" s="14"/>
      <c r="N19" s="14"/>
      <c r="P19" s="14"/>
      <c r="Q19" s="14"/>
      <c r="R19" s="14"/>
      <c r="AG19" s="14"/>
      <c r="AH19" s="14"/>
      <c r="AR19" s="7" t="s">
        <v>1931</v>
      </c>
      <c r="AT19" s="7" t="s">
        <v>334</v>
      </c>
    </row>
    <row r="20" spans="1:47" ht="38.25" x14ac:dyDescent="0.2">
      <c r="A20" s="6" t="s">
        <v>25</v>
      </c>
      <c r="B20" s="7" t="s">
        <v>3292</v>
      </c>
      <c r="C20" s="14"/>
      <c r="D20" s="14"/>
      <c r="E20" s="14"/>
      <c r="F20" s="14"/>
      <c r="G20" s="14"/>
      <c r="H20" s="14"/>
      <c r="I20" s="14"/>
      <c r="J20" s="14"/>
      <c r="L20" s="14"/>
      <c r="M20" s="14"/>
      <c r="N20" s="14">
        <v>1953</v>
      </c>
      <c r="O20" s="14"/>
      <c r="P20" s="14"/>
      <c r="Q20" s="14"/>
      <c r="R20" s="14"/>
      <c r="V20" s="7" t="s">
        <v>358</v>
      </c>
      <c r="W20" s="7">
        <v>130</v>
      </c>
      <c r="Y20" s="7" t="s">
        <v>1865</v>
      </c>
      <c r="AA20" s="7" t="s">
        <v>251</v>
      </c>
      <c r="AB20" s="7" t="s">
        <v>251</v>
      </c>
      <c r="AC20" s="7" t="s">
        <v>251</v>
      </c>
      <c r="AD20" s="7" t="s">
        <v>251</v>
      </c>
      <c r="AE20" s="7" t="s">
        <v>1401</v>
      </c>
      <c r="AG20" s="14">
        <v>7500</v>
      </c>
      <c r="AH20" s="14"/>
      <c r="AI20" s="7" t="s">
        <v>3332</v>
      </c>
      <c r="AJ20" s="7" t="s">
        <v>1881</v>
      </c>
      <c r="AK20" s="7" t="s">
        <v>1863</v>
      </c>
      <c r="AN20" s="7" t="s">
        <v>1882</v>
      </c>
      <c r="AS20" s="7" t="s">
        <v>1883</v>
      </c>
      <c r="AT20" s="7" t="s">
        <v>334</v>
      </c>
    </row>
    <row r="21" spans="1:47" ht="25.5" x14ac:dyDescent="0.2">
      <c r="A21" s="6" t="s">
        <v>26</v>
      </c>
      <c r="B21" s="7" t="s">
        <v>1871</v>
      </c>
      <c r="C21" s="14"/>
      <c r="D21" s="14"/>
      <c r="E21" s="14"/>
      <c r="F21" s="14"/>
      <c r="G21" s="14"/>
      <c r="H21" s="14"/>
      <c r="I21" s="14"/>
      <c r="J21" s="14"/>
      <c r="L21" s="14"/>
      <c r="M21" s="14"/>
      <c r="N21" s="14"/>
      <c r="O21" s="14"/>
      <c r="P21" s="14"/>
      <c r="Q21" s="14"/>
      <c r="R21" s="14"/>
      <c r="V21" s="7" t="s">
        <v>334</v>
      </c>
      <c r="Y21" s="7" t="s">
        <v>3329</v>
      </c>
      <c r="AA21" s="7" t="s">
        <v>251</v>
      </c>
      <c r="AB21" s="7" t="s">
        <v>251</v>
      </c>
      <c r="AC21" s="7" t="s">
        <v>251</v>
      </c>
      <c r="AD21" s="7" t="s">
        <v>334</v>
      </c>
      <c r="AG21" s="14">
        <v>5250</v>
      </c>
      <c r="AH21" s="14">
        <v>5250</v>
      </c>
      <c r="AT21" s="7" t="s">
        <v>334</v>
      </c>
    </row>
    <row r="22" spans="1:47" x14ac:dyDescent="0.2">
      <c r="A22" s="6" t="s">
        <v>20</v>
      </c>
      <c r="B22" s="7" t="s">
        <v>1873</v>
      </c>
      <c r="C22" s="14"/>
      <c r="D22" s="14"/>
      <c r="E22" s="14"/>
      <c r="F22" s="14"/>
      <c r="G22" s="14"/>
      <c r="H22" s="14"/>
      <c r="I22" s="14"/>
      <c r="J22" s="14">
        <v>500</v>
      </c>
      <c r="L22" s="14"/>
      <c r="M22" s="14"/>
      <c r="N22" s="14"/>
      <c r="O22" s="14"/>
      <c r="P22" s="14"/>
      <c r="Q22" s="14"/>
      <c r="R22" s="14"/>
      <c r="AG22" s="14"/>
      <c r="AH22" s="14"/>
      <c r="AS22" s="7" t="s">
        <v>1874</v>
      </c>
      <c r="AT22" s="7" t="s">
        <v>334</v>
      </c>
    </row>
    <row r="23" spans="1:47" x14ac:dyDescent="0.2">
      <c r="A23" s="6" t="s">
        <v>70</v>
      </c>
      <c r="B23" s="7" t="s">
        <v>356</v>
      </c>
      <c r="C23" s="14"/>
      <c r="D23" s="14"/>
      <c r="E23" s="14"/>
      <c r="F23" s="14"/>
      <c r="G23" s="14"/>
      <c r="H23" s="14"/>
      <c r="I23" s="14"/>
      <c r="J23" s="14"/>
      <c r="M23" s="14"/>
      <c r="N23" s="14"/>
      <c r="P23" s="14"/>
      <c r="Q23" s="14"/>
      <c r="R23" s="14"/>
      <c r="AG23" s="14"/>
      <c r="AH23" s="14"/>
    </row>
    <row r="24" spans="1:47" x14ac:dyDescent="0.2">
      <c r="A24" s="6" t="s">
        <v>14</v>
      </c>
      <c r="B24" s="7" t="s">
        <v>356</v>
      </c>
      <c r="C24" s="14"/>
      <c r="D24" s="14"/>
      <c r="E24" s="14"/>
      <c r="F24" s="14"/>
      <c r="G24" s="14"/>
      <c r="H24" s="14"/>
      <c r="I24" s="14"/>
      <c r="J24" s="14"/>
      <c r="L24" s="14"/>
      <c r="M24" s="14"/>
      <c r="N24" s="14"/>
      <c r="O24" s="14"/>
      <c r="P24" s="14"/>
      <c r="Q24" s="14"/>
      <c r="R24" s="14"/>
      <c r="AG24" s="14"/>
      <c r="AH24" s="14"/>
    </row>
    <row r="25" spans="1:47" ht="63.75" x14ac:dyDescent="0.2">
      <c r="A25" s="6" t="s">
        <v>24</v>
      </c>
      <c r="B25" s="7" t="s">
        <v>3322</v>
      </c>
      <c r="C25" s="14"/>
      <c r="D25" s="14"/>
      <c r="E25" s="14"/>
      <c r="F25" s="14"/>
      <c r="G25" s="14"/>
      <c r="H25" s="14"/>
      <c r="I25" s="14"/>
      <c r="J25" s="14">
        <v>350</v>
      </c>
      <c r="L25" s="14">
        <v>420</v>
      </c>
      <c r="M25" s="14"/>
      <c r="N25" s="14"/>
      <c r="O25" s="14"/>
      <c r="P25" s="14"/>
      <c r="Q25" s="14"/>
      <c r="R25" s="14"/>
      <c r="T25" s="7">
        <v>10</v>
      </c>
      <c r="U25" s="7">
        <v>10</v>
      </c>
      <c r="V25" s="7" t="s">
        <v>334</v>
      </c>
      <c r="Y25" s="7" t="s">
        <v>3329</v>
      </c>
      <c r="AA25" s="7" t="s">
        <v>251</v>
      </c>
      <c r="AB25" s="7" t="s">
        <v>251</v>
      </c>
      <c r="AC25" s="7" t="s">
        <v>251</v>
      </c>
      <c r="AD25" s="7" t="s">
        <v>334</v>
      </c>
      <c r="AG25" s="14">
        <v>10000</v>
      </c>
      <c r="AH25" s="14">
        <v>10000</v>
      </c>
      <c r="AI25" s="7" t="s">
        <v>3331</v>
      </c>
      <c r="AK25" s="7" t="s">
        <v>1863</v>
      </c>
      <c r="AN25" s="7" t="s">
        <v>1879</v>
      </c>
      <c r="AS25" s="7" t="s">
        <v>1880</v>
      </c>
      <c r="AT25" s="7" t="s">
        <v>334</v>
      </c>
    </row>
    <row r="26" spans="1:47" ht="25.5" x14ac:dyDescent="0.2">
      <c r="A26" s="6" t="s">
        <v>37</v>
      </c>
      <c r="B26" s="7" t="s">
        <v>3298</v>
      </c>
      <c r="C26" s="14"/>
      <c r="D26" s="14"/>
      <c r="E26" s="14"/>
      <c r="F26" s="14"/>
      <c r="G26" s="14"/>
      <c r="H26" s="14"/>
      <c r="I26" s="14"/>
      <c r="J26" s="14"/>
      <c r="L26" s="14">
        <v>600</v>
      </c>
      <c r="M26" s="14"/>
      <c r="N26" s="14"/>
      <c r="O26" s="14"/>
      <c r="P26" s="14"/>
      <c r="Q26" s="14"/>
      <c r="R26" s="14"/>
      <c r="V26" s="7" t="s">
        <v>334</v>
      </c>
      <c r="Y26" s="7" t="s">
        <v>3329</v>
      </c>
      <c r="AA26" s="7" t="s">
        <v>251</v>
      </c>
      <c r="AB26" s="7" t="s">
        <v>251</v>
      </c>
      <c r="AC26" s="7" t="s">
        <v>251</v>
      </c>
      <c r="AD26" s="7" t="s">
        <v>334</v>
      </c>
      <c r="AG26" s="14"/>
      <c r="AH26" s="14"/>
      <c r="AS26" s="7" t="s">
        <v>1874</v>
      </c>
      <c r="AT26" s="7" t="s">
        <v>334</v>
      </c>
    </row>
    <row r="27" spans="1:47" ht="38.25" x14ac:dyDescent="0.2">
      <c r="A27" s="6" t="s">
        <v>13</v>
      </c>
      <c r="B27" s="7" t="s">
        <v>3286</v>
      </c>
      <c r="C27" s="14"/>
      <c r="D27" s="14"/>
      <c r="E27" s="14"/>
      <c r="F27" s="14"/>
      <c r="G27" s="14"/>
      <c r="H27" s="14"/>
      <c r="I27" s="14"/>
      <c r="J27" s="14"/>
      <c r="L27" s="14">
        <v>420</v>
      </c>
      <c r="M27" s="14"/>
      <c r="N27" s="14"/>
      <c r="O27" s="14"/>
      <c r="P27" s="14"/>
      <c r="Q27" s="14"/>
      <c r="R27" s="14">
        <v>150</v>
      </c>
      <c r="T27" s="7">
        <v>20</v>
      </c>
      <c r="U27" s="7">
        <v>20</v>
      </c>
      <c r="AG27" s="14"/>
      <c r="AH27" s="14"/>
      <c r="AR27" s="7" t="s">
        <v>1867</v>
      </c>
      <c r="AT27" s="7" t="s">
        <v>334</v>
      </c>
    </row>
    <row r="28" spans="1:47" ht="51" x14ac:dyDescent="0.2">
      <c r="A28" s="6" t="s">
        <v>35</v>
      </c>
      <c r="B28" s="7" t="s">
        <v>3296</v>
      </c>
      <c r="C28" s="14"/>
      <c r="D28" s="14"/>
      <c r="E28" s="14"/>
      <c r="F28" s="14"/>
      <c r="G28" s="14"/>
      <c r="H28" s="14"/>
      <c r="I28" s="14"/>
      <c r="J28" s="14"/>
      <c r="L28" s="14">
        <v>2160</v>
      </c>
      <c r="M28" s="14"/>
      <c r="N28" s="14"/>
      <c r="O28" s="14"/>
      <c r="P28" s="14"/>
      <c r="Q28" s="14"/>
      <c r="R28" s="14"/>
      <c r="T28" s="7">
        <v>20</v>
      </c>
      <c r="U28" s="7">
        <v>20</v>
      </c>
      <c r="V28" s="7" t="s">
        <v>334</v>
      </c>
      <c r="Y28" s="7" t="s">
        <v>1865</v>
      </c>
      <c r="AA28" s="7" t="s">
        <v>345</v>
      </c>
      <c r="AB28" s="7" t="s">
        <v>345</v>
      </c>
      <c r="AC28" s="7" t="s">
        <v>251</v>
      </c>
      <c r="AD28" s="7" t="s">
        <v>334</v>
      </c>
      <c r="AG28" s="14">
        <v>7700</v>
      </c>
      <c r="AH28" s="14"/>
      <c r="AI28" s="7" t="s">
        <v>1333</v>
      </c>
      <c r="AK28" s="7" t="s">
        <v>1866</v>
      </c>
      <c r="AL28" s="7" t="s">
        <v>1897</v>
      </c>
      <c r="AP28" s="7" t="s">
        <v>1898</v>
      </c>
      <c r="AS28" s="7" t="s">
        <v>1899</v>
      </c>
      <c r="AT28" s="7" t="s">
        <v>334</v>
      </c>
    </row>
    <row r="29" spans="1:47" ht="25.5" x14ac:dyDescent="0.2">
      <c r="A29" s="6" t="s">
        <v>67</v>
      </c>
      <c r="B29" s="7" t="s">
        <v>3316</v>
      </c>
      <c r="C29" s="14"/>
      <c r="D29" s="14"/>
      <c r="E29" s="14"/>
      <c r="F29" s="14"/>
      <c r="G29" s="14"/>
      <c r="H29" s="14"/>
      <c r="I29" s="14"/>
      <c r="J29" s="14"/>
      <c r="M29" s="14"/>
      <c r="N29" s="14"/>
      <c r="P29" s="14"/>
      <c r="Q29" s="14"/>
      <c r="R29" s="14">
        <v>315</v>
      </c>
      <c r="V29" s="7" t="s">
        <v>358</v>
      </c>
      <c r="W29" s="7">
        <v>180</v>
      </c>
      <c r="Y29" s="7" t="s">
        <v>3329</v>
      </c>
      <c r="AA29" s="7" t="s">
        <v>251</v>
      </c>
      <c r="AB29" s="7" t="s">
        <v>251</v>
      </c>
      <c r="AC29" s="7" t="s">
        <v>251</v>
      </c>
      <c r="AD29" s="7" t="s">
        <v>251</v>
      </c>
      <c r="AE29" s="7" t="s">
        <v>1933</v>
      </c>
      <c r="AG29" s="14">
        <v>7133</v>
      </c>
      <c r="AH29" s="14">
        <v>7133</v>
      </c>
      <c r="AS29" s="7" t="s">
        <v>1934</v>
      </c>
      <c r="AT29" s="7" t="s">
        <v>334</v>
      </c>
    </row>
    <row r="30" spans="1:47" ht="25.5" x14ac:dyDescent="0.2">
      <c r="A30" s="6" t="s">
        <v>49</v>
      </c>
      <c r="B30" s="7" t="s">
        <v>3306</v>
      </c>
      <c r="C30" s="14"/>
      <c r="D30" s="14"/>
      <c r="E30" s="14"/>
      <c r="F30" s="14"/>
      <c r="G30" s="14"/>
      <c r="H30" s="14"/>
      <c r="I30" s="14"/>
      <c r="J30" s="14"/>
      <c r="L30" s="14">
        <v>780</v>
      </c>
      <c r="M30" s="14"/>
      <c r="N30" s="14"/>
      <c r="O30" s="14"/>
      <c r="P30" s="14"/>
      <c r="Q30" s="14"/>
      <c r="R30" s="14"/>
      <c r="V30" s="7" t="s">
        <v>334</v>
      </c>
      <c r="Y30" s="7" t="s">
        <v>3329</v>
      </c>
      <c r="AA30" s="7" t="s">
        <v>251</v>
      </c>
      <c r="AB30" s="7" t="s">
        <v>251</v>
      </c>
      <c r="AC30" s="7" t="s">
        <v>251</v>
      </c>
      <c r="AD30" s="7" t="s">
        <v>251</v>
      </c>
      <c r="AE30" s="7" t="s">
        <v>1401</v>
      </c>
      <c r="AG30" s="14">
        <v>6650</v>
      </c>
      <c r="AH30" s="14">
        <v>6650</v>
      </c>
      <c r="AS30" s="7" t="s">
        <v>1912</v>
      </c>
      <c r="AT30" s="7" t="s">
        <v>334</v>
      </c>
    </row>
    <row r="31" spans="1:47" ht="25.5" x14ac:dyDescent="0.2">
      <c r="A31" s="6" t="s">
        <v>68</v>
      </c>
      <c r="B31" s="7" t="s">
        <v>3317</v>
      </c>
      <c r="C31" s="14"/>
      <c r="D31" s="14"/>
      <c r="E31" s="14"/>
      <c r="F31" s="14"/>
      <c r="G31" s="14"/>
      <c r="H31" s="14"/>
      <c r="I31" s="14"/>
      <c r="J31" s="14"/>
      <c r="M31" s="14"/>
      <c r="N31" s="14"/>
      <c r="P31" s="14"/>
      <c r="Q31" s="14"/>
      <c r="R31" s="14">
        <v>750</v>
      </c>
      <c r="V31" s="7" t="s">
        <v>334</v>
      </c>
      <c r="Y31" s="7" t="s">
        <v>1865</v>
      </c>
      <c r="AA31" s="7" t="s">
        <v>251</v>
      </c>
      <c r="AB31" s="7" t="s">
        <v>251</v>
      </c>
      <c r="AC31" s="7" t="s">
        <v>251</v>
      </c>
      <c r="AD31" s="7" t="s">
        <v>334</v>
      </c>
      <c r="AG31" s="14">
        <v>2500</v>
      </c>
      <c r="AH31" s="14">
        <v>2500</v>
      </c>
      <c r="AT31" s="7" t="s">
        <v>334</v>
      </c>
    </row>
    <row r="32" spans="1:47" ht="63.75" x14ac:dyDescent="0.2">
      <c r="A32" s="6" t="s">
        <v>11</v>
      </c>
      <c r="B32" s="7" t="s">
        <v>3285</v>
      </c>
      <c r="C32" s="14"/>
      <c r="D32" s="14"/>
      <c r="E32" s="14"/>
      <c r="F32" s="14"/>
      <c r="G32" s="14">
        <v>1800</v>
      </c>
      <c r="H32" s="14"/>
      <c r="I32" s="14"/>
      <c r="J32" s="14"/>
      <c r="L32" s="14"/>
      <c r="M32" s="14"/>
      <c r="N32" s="14"/>
      <c r="O32" s="14"/>
      <c r="P32" s="14"/>
      <c r="Q32" s="14"/>
      <c r="R32" s="14"/>
      <c r="V32" s="7" t="s">
        <v>334</v>
      </c>
      <c r="Y32" s="7" t="s">
        <v>1862</v>
      </c>
      <c r="AA32" s="7" t="s">
        <v>251</v>
      </c>
      <c r="AB32" s="7" t="s">
        <v>251</v>
      </c>
      <c r="AC32" s="7" t="s">
        <v>251</v>
      </c>
      <c r="AD32" s="7" t="s">
        <v>334</v>
      </c>
      <c r="AG32" s="14">
        <v>12798</v>
      </c>
      <c r="AH32" s="14">
        <v>12798</v>
      </c>
      <c r="AI32" s="7" t="s">
        <v>1333</v>
      </c>
      <c r="AK32" s="7" t="s">
        <v>1863</v>
      </c>
      <c r="AN32" s="7" t="s">
        <v>3373</v>
      </c>
      <c r="AS32" s="7" t="s">
        <v>1864</v>
      </c>
      <c r="AT32" s="7" t="s">
        <v>334</v>
      </c>
    </row>
    <row r="33" spans="1:46" x14ac:dyDescent="0.2">
      <c r="A33" s="6" t="s">
        <v>50</v>
      </c>
      <c r="B33" s="7" t="s">
        <v>356</v>
      </c>
      <c r="C33" s="14"/>
      <c r="D33" s="14"/>
      <c r="E33" s="14"/>
      <c r="F33" s="14"/>
      <c r="G33" s="14"/>
      <c r="H33" s="14"/>
      <c r="I33" s="14"/>
      <c r="J33" s="14"/>
      <c r="L33" s="14"/>
      <c r="M33" s="14"/>
      <c r="N33" s="14"/>
      <c r="O33" s="14"/>
      <c r="P33" s="14"/>
      <c r="Q33" s="14"/>
      <c r="R33" s="14"/>
      <c r="AG33" s="14"/>
      <c r="AH33" s="14"/>
    </row>
    <row r="34" spans="1:46" x14ac:dyDescent="0.2">
      <c r="A34" s="6" t="s">
        <v>71</v>
      </c>
      <c r="B34" s="7" t="s">
        <v>3319</v>
      </c>
      <c r="C34" s="14">
        <v>500</v>
      </c>
      <c r="D34" s="14"/>
      <c r="E34" s="14"/>
      <c r="F34" s="14"/>
      <c r="G34" s="14"/>
      <c r="H34" s="14"/>
      <c r="I34" s="14"/>
      <c r="J34" s="14">
        <v>500</v>
      </c>
      <c r="M34" s="14"/>
      <c r="N34" s="14"/>
      <c r="P34" s="14"/>
      <c r="Q34" s="14"/>
      <c r="R34" s="14"/>
      <c r="AG34" s="14"/>
      <c r="AH34" s="14"/>
      <c r="AS34" s="7" t="s">
        <v>1877</v>
      </c>
      <c r="AT34" s="7" t="s">
        <v>334</v>
      </c>
    </row>
    <row r="35" spans="1:46" ht="38.25" x14ac:dyDescent="0.2">
      <c r="A35" s="6" t="s">
        <v>65</v>
      </c>
      <c r="B35" s="7" t="s">
        <v>3327</v>
      </c>
      <c r="C35" s="14"/>
      <c r="D35" s="14"/>
      <c r="E35" s="14"/>
      <c r="F35" s="14"/>
      <c r="G35" s="14"/>
      <c r="H35" s="14"/>
      <c r="I35" s="14"/>
      <c r="J35" s="14"/>
      <c r="M35" s="14"/>
      <c r="N35" s="14"/>
      <c r="P35" s="14"/>
      <c r="Q35" s="14"/>
      <c r="R35" s="14"/>
      <c r="T35" s="7">
        <v>5</v>
      </c>
      <c r="U35" s="7">
        <v>5</v>
      </c>
      <c r="AG35" s="14"/>
      <c r="AH35" s="14"/>
      <c r="AP35" s="7" t="s">
        <v>1932</v>
      </c>
      <c r="AT35" s="7" t="s">
        <v>334</v>
      </c>
    </row>
    <row r="36" spans="1:46" ht="38.25" x14ac:dyDescent="0.2">
      <c r="A36" s="6" t="s">
        <v>59</v>
      </c>
      <c r="B36" s="7" t="s">
        <v>3312</v>
      </c>
      <c r="C36" s="14"/>
      <c r="D36" s="14"/>
      <c r="E36" s="14">
        <v>600</v>
      </c>
      <c r="F36" s="14"/>
      <c r="G36" s="14">
        <v>600</v>
      </c>
      <c r="H36" s="14"/>
      <c r="I36" s="14"/>
      <c r="J36" s="14"/>
      <c r="M36" s="14"/>
      <c r="N36" s="14"/>
      <c r="P36" s="14"/>
      <c r="Q36" s="14"/>
      <c r="R36" s="14">
        <v>600</v>
      </c>
      <c r="V36" s="7" t="s">
        <v>334</v>
      </c>
      <c r="Y36" s="7" t="s">
        <v>3328</v>
      </c>
      <c r="Z36" s="7" t="s">
        <v>1924</v>
      </c>
      <c r="AA36" s="7" t="s">
        <v>251</v>
      </c>
      <c r="AB36" s="7" t="s">
        <v>251</v>
      </c>
      <c r="AC36" s="7" t="s">
        <v>251</v>
      </c>
      <c r="AD36" s="7" t="s">
        <v>334</v>
      </c>
      <c r="AG36" s="14">
        <v>9000</v>
      </c>
      <c r="AH36" s="14">
        <v>9000</v>
      </c>
      <c r="AI36" s="7" t="s">
        <v>3330</v>
      </c>
      <c r="AK36" s="7" t="s">
        <v>1887</v>
      </c>
      <c r="AL36" s="7" t="s">
        <v>3355</v>
      </c>
      <c r="AN36" s="7" t="s">
        <v>1925</v>
      </c>
      <c r="AR36" s="7" t="s">
        <v>1926</v>
      </c>
      <c r="AS36" s="7" t="s">
        <v>1927</v>
      </c>
      <c r="AT36" s="7" t="s">
        <v>334</v>
      </c>
    </row>
    <row r="37" spans="1:46" ht="51" x14ac:dyDescent="0.2">
      <c r="A37" s="6" t="s">
        <v>36</v>
      </c>
      <c r="B37" s="7" t="s">
        <v>3297</v>
      </c>
      <c r="C37" s="14"/>
      <c r="D37" s="14"/>
      <c r="E37" s="14"/>
      <c r="F37" s="14"/>
      <c r="G37" s="14"/>
      <c r="H37" s="14"/>
      <c r="I37" s="14"/>
      <c r="J37" s="14"/>
      <c r="L37" s="14">
        <v>300</v>
      </c>
      <c r="M37" s="14"/>
      <c r="N37" s="14">
        <v>1500</v>
      </c>
      <c r="O37" s="14"/>
      <c r="P37" s="14"/>
      <c r="Q37" s="14"/>
      <c r="R37" s="14"/>
      <c r="V37" s="7" t="s">
        <v>334</v>
      </c>
      <c r="Y37" s="7" t="s">
        <v>1862</v>
      </c>
      <c r="AA37" s="7" t="s">
        <v>251</v>
      </c>
      <c r="AB37" s="7" t="s">
        <v>251</v>
      </c>
      <c r="AC37" s="7" t="s">
        <v>251</v>
      </c>
      <c r="AD37" s="7" t="s">
        <v>334</v>
      </c>
      <c r="AG37" s="14">
        <v>6827</v>
      </c>
      <c r="AH37" s="14">
        <v>6827</v>
      </c>
      <c r="AI37" s="7" t="s">
        <v>3332</v>
      </c>
      <c r="AJ37" s="7">
        <v>30</v>
      </c>
      <c r="AK37" s="7" t="s">
        <v>380</v>
      </c>
      <c r="AO37" s="7" t="s">
        <v>1900</v>
      </c>
      <c r="AP37" s="7" t="s">
        <v>1901</v>
      </c>
      <c r="AS37" s="7" t="s">
        <v>338</v>
      </c>
      <c r="AT37" s="7" t="s">
        <v>334</v>
      </c>
    </row>
    <row r="38" spans="1:46" ht="51" x14ac:dyDescent="0.2">
      <c r="A38" s="6" t="s">
        <v>28</v>
      </c>
      <c r="B38" s="7" t="s">
        <v>3293</v>
      </c>
      <c r="C38" s="14"/>
      <c r="D38" s="14"/>
      <c r="E38" s="14"/>
      <c r="F38" s="14"/>
      <c r="G38" s="14"/>
      <c r="H38" s="14"/>
      <c r="I38" s="14"/>
      <c r="J38" s="14"/>
      <c r="L38" s="14"/>
      <c r="M38" s="14"/>
      <c r="N38" s="14"/>
      <c r="O38" s="14">
        <v>25</v>
      </c>
      <c r="P38" s="14"/>
      <c r="Q38" s="14"/>
      <c r="R38" s="14"/>
      <c r="T38" s="7">
        <v>10</v>
      </c>
      <c r="U38" s="7">
        <v>10</v>
      </c>
      <c r="V38" s="7" t="s">
        <v>334</v>
      </c>
      <c r="Y38" s="7" t="s">
        <v>1865</v>
      </c>
      <c r="AA38" s="7" t="s">
        <v>334</v>
      </c>
      <c r="AB38" s="7" t="s">
        <v>334</v>
      </c>
      <c r="AC38" s="7" t="s">
        <v>251</v>
      </c>
      <c r="AD38" s="7" t="s">
        <v>334</v>
      </c>
      <c r="AG38" s="14">
        <v>5250</v>
      </c>
      <c r="AH38" s="14"/>
      <c r="AP38" s="7" t="s">
        <v>1884</v>
      </c>
      <c r="AT38" s="7" t="s">
        <v>334</v>
      </c>
    </row>
    <row r="39" spans="1:46" ht="25.5" x14ac:dyDescent="0.2">
      <c r="A39" s="6" t="s">
        <v>52</v>
      </c>
      <c r="B39" s="7" t="s">
        <v>1871</v>
      </c>
      <c r="C39" s="14"/>
      <c r="D39" s="14"/>
      <c r="E39" s="14"/>
      <c r="F39" s="14"/>
      <c r="G39" s="14"/>
      <c r="H39" s="14"/>
      <c r="I39" s="14"/>
      <c r="J39" s="14"/>
      <c r="L39" s="14"/>
      <c r="M39" s="14"/>
      <c r="N39" s="14"/>
      <c r="O39" s="14"/>
      <c r="P39" s="14"/>
      <c r="Q39" s="14"/>
      <c r="R39" s="14"/>
      <c r="V39" s="7" t="s">
        <v>334</v>
      </c>
      <c r="Y39" s="7" t="s">
        <v>3329</v>
      </c>
      <c r="AA39" s="7" t="s">
        <v>251</v>
      </c>
      <c r="AB39" s="7" t="s">
        <v>251</v>
      </c>
      <c r="AC39" s="7" t="s">
        <v>251</v>
      </c>
      <c r="AD39" s="7" t="s">
        <v>334</v>
      </c>
      <c r="AG39" s="14">
        <v>5250</v>
      </c>
      <c r="AH39" s="14">
        <v>5250</v>
      </c>
      <c r="AT39" s="7" t="s">
        <v>334</v>
      </c>
    </row>
    <row r="40" spans="1:46" ht="38.25" x14ac:dyDescent="0.2">
      <c r="A40" s="6" t="s">
        <v>19</v>
      </c>
      <c r="B40" s="7" t="s">
        <v>3289</v>
      </c>
      <c r="C40" s="14"/>
      <c r="D40" s="14"/>
      <c r="E40" s="14"/>
      <c r="F40" s="14"/>
      <c r="G40" s="14"/>
      <c r="H40" s="14"/>
      <c r="I40" s="14"/>
      <c r="J40" s="14">
        <v>1000</v>
      </c>
      <c r="L40" s="14"/>
      <c r="M40" s="14"/>
      <c r="N40" s="14"/>
      <c r="O40" s="14">
        <v>80</v>
      </c>
      <c r="P40" s="14"/>
      <c r="Q40" s="14"/>
      <c r="R40" s="14"/>
      <c r="AG40" s="14"/>
      <c r="AH40" s="14"/>
      <c r="AS40" s="7" t="s">
        <v>1872</v>
      </c>
      <c r="AT40" s="7" t="s">
        <v>334</v>
      </c>
    </row>
    <row r="41" spans="1:46" ht="25.5" x14ac:dyDescent="0.2">
      <c r="A41" s="6" t="s">
        <v>51</v>
      </c>
      <c r="B41" s="7" t="s">
        <v>3307</v>
      </c>
      <c r="C41" s="14"/>
      <c r="D41" s="14"/>
      <c r="E41" s="14"/>
      <c r="F41" s="14"/>
      <c r="G41" s="14"/>
      <c r="H41" s="14"/>
      <c r="I41" s="14"/>
      <c r="J41" s="14"/>
      <c r="L41" s="14"/>
      <c r="M41" s="14">
        <v>20000</v>
      </c>
      <c r="N41" s="14">
        <v>100</v>
      </c>
      <c r="O41" s="14"/>
      <c r="P41" s="14"/>
      <c r="Q41" s="14"/>
      <c r="R41" s="14"/>
      <c r="V41" s="7" t="s">
        <v>334</v>
      </c>
      <c r="Y41" s="7" t="s">
        <v>3329</v>
      </c>
      <c r="AA41" s="7" t="s">
        <v>251</v>
      </c>
      <c r="AB41" s="7" t="s">
        <v>251</v>
      </c>
      <c r="AC41" s="7" t="s">
        <v>251</v>
      </c>
      <c r="AD41" s="7" t="s">
        <v>251</v>
      </c>
      <c r="AE41" s="7" t="s">
        <v>130</v>
      </c>
      <c r="AF41" s="7" t="s">
        <v>1446</v>
      </c>
      <c r="AG41" s="14">
        <v>5250</v>
      </c>
      <c r="AH41" s="14">
        <v>5250</v>
      </c>
      <c r="AI41" s="7" t="s">
        <v>1333</v>
      </c>
      <c r="AK41" s="7" t="s">
        <v>1866</v>
      </c>
      <c r="AL41" s="14">
        <v>100</v>
      </c>
      <c r="AS41" s="7" t="s">
        <v>1472</v>
      </c>
      <c r="AT41" s="7" t="s">
        <v>334</v>
      </c>
    </row>
    <row r="42" spans="1:46" ht="25.5" x14ac:dyDescent="0.2">
      <c r="A42" s="6" t="s">
        <v>47</v>
      </c>
      <c r="B42" s="7" t="s">
        <v>1871</v>
      </c>
      <c r="C42" s="14"/>
      <c r="D42" s="14"/>
      <c r="E42" s="14"/>
      <c r="F42" s="14"/>
      <c r="G42" s="14"/>
      <c r="H42" s="14"/>
      <c r="I42" s="14"/>
      <c r="J42" s="14"/>
      <c r="L42" s="14"/>
      <c r="M42" s="14"/>
      <c r="N42" s="14"/>
      <c r="O42" s="14"/>
      <c r="P42" s="14"/>
      <c r="Q42" s="14"/>
      <c r="R42" s="14"/>
      <c r="V42" s="7" t="s">
        <v>334</v>
      </c>
      <c r="Y42" s="7" t="s">
        <v>3329</v>
      </c>
      <c r="AA42" s="7" t="s">
        <v>251</v>
      </c>
      <c r="AB42" s="7" t="s">
        <v>251</v>
      </c>
      <c r="AC42" s="7" t="s">
        <v>251</v>
      </c>
      <c r="AD42" s="7" t="s">
        <v>334</v>
      </c>
      <c r="AG42" s="14">
        <v>7051</v>
      </c>
      <c r="AH42" s="14">
        <v>7051</v>
      </c>
      <c r="AS42" s="7" t="s">
        <v>1446</v>
      </c>
      <c r="AT42" s="7" t="s">
        <v>334</v>
      </c>
    </row>
    <row r="43" spans="1:46" ht="25.5" x14ac:dyDescent="0.2">
      <c r="A43" s="6" t="s">
        <v>56</v>
      </c>
      <c r="B43" s="7" t="s">
        <v>3310</v>
      </c>
      <c r="C43" s="14"/>
      <c r="D43" s="14"/>
      <c r="E43" s="14"/>
      <c r="F43" s="14"/>
      <c r="G43" s="14"/>
      <c r="H43" s="14"/>
      <c r="I43" s="14"/>
      <c r="J43" s="14"/>
      <c r="M43" s="14"/>
      <c r="N43" s="14"/>
      <c r="P43" s="14"/>
      <c r="Q43" s="14">
        <v>250</v>
      </c>
      <c r="R43" s="14"/>
      <c r="AG43" s="14"/>
      <c r="AH43" s="14"/>
      <c r="AI43" s="7" t="s">
        <v>3333</v>
      </c>
      <c r="AJ43" s="7">
        <v>3</v>
      </c>
      <c r="AK43" s="7" t="s">
        <v>1863</v>
      </c>
      <c r="AN43" s="7" t="s">
        <v>3374</v>
      </c>
      <c r="AQ43" s="7" t="s">
        <v>1920</v>
      </c>
      <c r="AS43" s="7" t="s">
        <v>1921</v>
      </c>
      <c r="AT43" s="7" t="s">
        <v>334</v>
      </c>
    </row>
    <row r="44" spans="1:46" ht="25.5" x14ac:dyDescent="0.2">
      <c r="A44" s="6" t="s">
        <v>62</v>
      </c>
      <c r="B44" s="7" t="s">
        <v>3292</v>
      </c>
      <c r="C44" s="14"/>
      <c r="D44" s="14"/>
      <c r="E44" s="14"/>
      <c r="F44" s="14"/>
      <c r="G44" s="14"/>
      <c r="H44" s="14"/>
      <c r="I44" s="14"/>
      <c r="M44" s="14"/>
      <c r="N44" s="14">
        <v>500</v>
      </c>
      <c r="P44" s="14"/>
      <c r="Q44" s="14"/>
      <c r="R44" s="14"/>
      <c r="V44" s="7" t="s">
        <v>334</v>
      </c>
      <c r="Y44" s="7" t="s">
        <v>3329</v>
      </c>
      <c r="AA44" s="7" t="s">
        <v>251</v>
      </c>
      <c r="AB44" s="7" t="s">
        <v>251</v>
      </c>
      <c r="AC44" s="7" t="s">
        <v>251</v>
      </c>
      <c r="AD44" s="7" t="s">
        <v>334</v>
      </c>
      <c r="AG44" s="14">
        <v>6500</v>
      </c>
      <c r="AH44" s="14">
        <v>6500</v>
      </c>
      <c r="AI44" s="7" t="s">
        <v>3330</v>
      </c>
      <c r="AT44" s="7" t="s">
        <v>334</v>
      </c>
    </row>
    <row r="45" spans="1:46" ht="51" x14ac:dyDescent="0.2">
      <c r="A45" s="6" t="s">
        <v>21</v>
      </c>
      <c r="B45" s="7" t="s">
        <v>3290</v>
      </c>
      <c r="C45" s="14"/>
      <c r="D45" s="14"/>
      <c r="E45" s="14"/>
      <c r="F45" s="14"/>
      <c r="G45" s="14"/>
      <c r="H45" s="14"/>
      <c r="I45" s="14"/>
      <c r="J45" s="14">
        <v>700</v>
      </c>
      <c r="L45" s="14"/>
      <c r="M45" s="14"/>
      <c r="N45" s="14"/>
      <c r="O45" s="14"/>
      <c r="P45" s="14"/>
      <c r="Q45" s="14">
        <v>170</v>
      </c>
      <c r="R45" s="14"/>
      <c r="AG45" s="14"/>
      <c r="AH45" s="14"/>
      <c r="AQ45" s="7" t="s">
        <v>1875</v>
      </c>
      <c r="AS45" s="7" t="s">
        <v>1446</v>
      </c>
      <c r="AT45" s="7" t="s">
        <v>334</v>
      </c>
    </row>
    <row r="46" spans="1:46" ht="51" x14ac:dyDescent="0.2">
      <c r="A46" s="6" t="s">
        <v>12</v>
      </c>
      <c r="B46" s="7" t="s">
        <v>3321</v>
      </c>
      <c r="C46" s="14"/>
      <c r="D46" s="14"/>
      <c r="E46" s="14"/>
      <c r="F46" s="14"/>
      <c r="G46" s="14"/>
      <c r="H46" s="14"/>
      <c r="I46" s="14"/>
      <c r="J46" s="14"/>
      <c r="L46" s="14"/>
      <c r="M46" s="14"/>
      <c r="N46" s="14"/>
      <c r="O46" s="14"/>
      <c r="P46" s="14"/>
      <c r="Q46" s="14"/>
      <c r="R46" s="14"/>
      <c r="V46" s="7" t="s">
        <v>334</v>
      </c>
      <c r="Y46" s="7" t="s">
        <v>1865</v>
      </c>
      <c r="AA46" s="7" t="s">
        <v>251</v>
      </c>
      <c r="AB46" s="7" t="s">
        <v>251</v>
      </c>
      <c r="AC46" s="7" t="s">
        <v>334</v>
      </c>
      <c r="AD46" s="7" t="s">
        <v>334</v>
      </c>
      <c r="AG46" s="14"/>
      <c r="AH46" s="14"/>
      <c r="AI46" s="7" t="s">
        <v>1435</v>
      </c>
      <c r="AK46" s="7" t="s">
        <v>1866</v>
      </c>
      <c r="AL46" s="7" t="s">
        <v>1341</v>
      </c>
      <c r="AT46" s="7" t="s">
        <v>334</v>
      </c>
    </row>
    <row r="47" spans="1:46" ht="38.25" x14ac:dyDescent="0.2">
      <c r="A47" s="6" t="s">
        <v>64</v>
      </c>
      <c r="B47" s="7" t="s">
        <v>3326</v>
      </c>
      <c r="C47" s="14"/>
      <c r="D47" s="14"/>
      <c r="E47" s="14"/>
      <c r="F47" s="14"/>
      <c r="G47" s="14"/>
      <c r="H47" s="14"/>
      <c r="I47" s="14"/>
      <c r="J47" s="14">
        <v>760</v>
      </c>
      <c r="L47" s="14">
        <v>100</v>
      </c>
      <c r="M47" s="14"/>
      <c r="N47" s="14"/>
      <c r="P47" s="14"/>
      <c r="Q47" s="14"/>
      <c r="R47" s="14"/>
      <c r="AG47" s="14"/>
      <c r="AH47" s="14"/>
      <c r="AS47" s="7" t="s">
        <v>1446</v>
      </c>
      <c r="AT47" s="7" t="s">
        <v>334</v>
      </c>
    </row>
    <row r="48" spans="1:46" ht="25.5" x14ac:dyDescent="0.2">
      <c r="A48" s="6" t="s">
        <v>38</v>
      </c>
      <c r="B48" s="7" t="s">
        <v>3292</v>
      </c>
      <c r="C48" s="14"/>
      <c r="D48" s="14"/>
      <c r="E48" s="14"/>
      <c r="F48" s="14"/>
      <c r="G48" s="14"/>
      <c r="H48" s="14"/>
      <c r="I48" s="14"/>
      <c r="J48" s="14"/>
      <c r="L48" s="14"/>
      <c r="M48" s="14"/>
      <c r="N48" s="14"/>
      <c r="O48" s="14"/>
      <c r="P48" s="14"/>
      <c r="Q48" s="14"/>
      <c r="R48" s="14"/>
      <c r="V48" s="7" t="s">
        <v>334</v>
      </c>
      <c r="Y48" s="7" t="s">
        <v>3329</v>
      </c>
      <c r="AA48" s="7" t="s">
        <v>251</v>
      </c>
      <c r="AB48" s="7" t="s">
        <v>334</v>
      </c>
      <c r="AC48" s="7" t="s">
        <v>251</v>
      </c>
      <c r="AD48" s="7" t="s">
        <v>334</v>
      </c>
      <c r="AG48" s="14"/>
      <c r="AH48" s="14"/>
      <c r="AI48" s="7" t="s">
        <v>1333</v>
      </c>
      <c r="AK48" s="7" t="s">
        <v>380</v>
      </c>
      <c r="AO48" s="7" t="s">
        <v>1902</v>
      </c>
      <c r="AT48" s="7" t="s">
        <v>334</v>
      </c>
    </row>
    <row r="49" spans="1:47" ht="25.5" x14ac:dyDescent="0.2">
      <c r="A49" s="6" t="s">
        <v>41</v>
      </c>
      <c r="B49" s="7" t="s">
        <v>3300</v>
      </c>
      <c r="C49" s="14"/>
      <c r="D49" s="14"/>
      <c r="E49" s="14"/>
      <c r="F49" s="14"/>
      <c r="G49" s="14"/>
      <c r="H49" s="14"/>
      <c r="I49" s="14"/>
      <c r="J49" s="14">
        <v>500</v>
      </c>
      <c r="L49" s="14">
        <v>600</v>
      </c>
      <c r="M49" s="14"/>
      <c r="N49" s="14"/>
      <c r="O49" s="14">
        <v>50</v>
      </c>
      <c r="P49" s="14"/>
      <c r="Q49" s="14"/>
      <c r="R49" s="14"/>
      <c r="AG49" s="14"/>
      <c r="AH49" s="14"/>
      <c r="AS49" s="7" t="s">
        <v>1904</v>
      </c>
      <c r="AT49" s="7" t="s">
        <v>334</v>
      </c>
    </row>
    <row r="50" spans="1:47" ht="63.75" x14ac:dyDescent="0.2">
      <c r="A50" s="6" t="s">
        <v>29</v>
      </c>
      <c r="B50" s="7" t="s">
        <v>3323</v>
      </c>
      <c r="C50" s="14"/>
      <c r="D50" s="14"/>
      <c r="E50" s="14"/>
      <c r="F50" s="14"/>
      <c r="G50" s="14"/>
      <c r="H50" s="14"/>
      <c r="I50" s="14"/>
      <c r="J50" s="14"/>
      <c r="L50" s="14"/>
      <c r="M50" s="14"/>
      <c r="N50" s="14"/>
      <c r="O50" s="14"/>
      <c r="P50" s="14"/>
      <c r="Q50" s="14"/>
      <c r="R50" s="14"/>
      <c r="V50" s="7" t="s">
        <v>334</v>
      </c>
      <c r="Y50" s="7" t="s">
        <v>3328</v>
      </c>
      <c r="Z50" s="7" t="s">
        <v>1885</v>
      </c>
      <c r="AA50" s="7" t="s">
        <v>251</v>
      </c>
      <c r="AB50" s="7" t="s">
        <v>251</v>
      </c>
      <c r="AC50" s="7" t="s">
        <v>251</v>
      </c>
      <c r="AD50" s="7" t="s">
        <v>334</v>
      </c>
      <c r="AG50" s="14">
        <v>5000</v>
      </c>
      <c r="AH50" s="14">
        <v>5000</v>
      </c>
      <c r="AI50" s="7" t="s">
        <v>130</v>
      </c>
      <c r="AJ50" s="7" t="s">
        <v>1886</v>
      </c>
      <c r="AK50" s="7" t="s">
        <v>1887</v>
      </c>
      <c r="AT50" s="7" t="s">
        <v>251</v>
      </c>
      <c r="AU50" s="7" t="s">
        <v>1888</v>
      </c>
    </row>
    <row r="51" spans="1:47" ht="25.5" x14ac:dyDescent="0.2">
      <c r="A51" s="6" t="s">
        <v>17</v>
      </c>
      <c r="B51" s="7" t="s">
        <v>3288</v>
      </c>
      <c r="C51" s="14"/>
      <c r="D51" s="14"/>
      <c r="E51" s="14"/>
      <c r="F51" s="14"/>
      <c r="G51" s="14"/>
      <c r="H51" s="14"/>
      <c r="I51" s="14"/>
      <c r="J51" s="14">
        <v>1374</v>
      </c>
      <c r="L51" s="14"/>
      <c r="M51" s="14"/>
      <c r="N51" s="14"/>
      <c r="O51" s="14"/>
      <c r="P51" s="14"/>
      <c r="Q51" s="14"/>
      <c r="R51" s="14"/>
      <c r="V51" s="7" t="s">
        <v>358</v>
      </c>
      <c r="W51" s="7">
        <v>183</v>
      </c>
      <c r="Y51" s="7" t="s">
        <v>3328</v>
      </c>
      <c r="Z51" s="7" t="s">
        <v>1869</v>
      </c>
      <c r="AA51" s="7" t="s">
        <v>334</v>
      </c>
      <c r="AB51" s="7" t="s">
        <v>334</v>
      </c>
      <c r="AC51" s="7" t="s">
        <v>251</v>
      </c>
      <c r="AD51" s="7" t="s">
        <v>334</v>
      </c>
      <c r="AG51" s="14">
        <v>2500</v>
      </c>
      <c r="AH51" s="14"/>
      <c r="AS51" s="7" t="s">
        <v>1870</v>
      </c>
      <c r="AT51" s="7" t="s">
        <v>334</v>
      </c>
    </row>
    <row r="52" spans="1:47" x14ac:dyDescent="0.2">
      <c r="A52" s="6" t="s">
        <v>22</v>
      </c>
      <c r="B52" s="7" t="s">
        <v>1876</v>
      </c>
      <c r="C52" s="14"/>
      <c r="D52" s="14"/>
      <c r="E52" s="14"/>
      <c r="F52" s="14"/>
      <c r="G52" s="14"/>
      <c r="H52" s="14"/>
      <c r="I52" s="14"/>
      <c r="J52" s="14"/>
      <c r="L52" s="14">
        <v>300</v>
      </c>
      <c r="M52" s="14"/>
      <c r="N52" s="14"/>
      <c r="O52" s="14"/>
      <c r="P52" s="14"/>
      <c r="Q52" s="14"/>
      <c r="R52" s="14"/>
      <c r="AG52" s="14"/>
      <c r="AH52" s="14"/>
      <c r="AS52" s="7" t="s">
        <v>1877</v>
      </c>
      <c r="AT52" s="7" t="s">
        <v>334</v>
      </c>
    </row>
    <row r="53" spans="1:47" ht="51" x14ac:dyDescent="0.2">
      <c r="A53" s="6" t="s">
        <v>53</v>
      </c>
      <c r="B53" s="7" t="s">
        <v>3308</v>
      </c>
      <c r="C53" s="14"/>
      <c r="D53" s="14"/>
      <c r="E53" s="14"/>
      <c r="F53" s="14"/>
      <c r="G53" s="14">
        <v>208</v>
      </c>
      <c r="H53" s="14"/>
      <c r="I53" s="14"/>
      <c r="J53" s="14">
        <v>593</v>
      </c>
      <c r="L53" s="14">
        <v>225</v>
      </c>
      <c r="M53" s="14"/>
      <c r="N53" s="14"/>
      <c r="O53" s="14">
        <v>225</v>
      </c>
      <c r="P53" s="14"/>
      <c r="Q53" s="14"/>
      <c r="R53" s="14">
        <v>275</v>
      </c>
      <c r="S53" s="15">
        <v>30.5</v>
      </c>
      <c r="AG53" s="14"/>
      <c r="AH53" s="14"/>
      <c r="AR53" s="7" t="s">
        <v>1913</v>
      </c>
      <c r="AS53" s="7" t="s">
        <v>1914</v>
      </c>
      <c r="AT53" s="7" t="s">
        <v>334</v>
      </c>
    </row>
    <row r="54" spans="1:47" ht="51" x14ac:dyDescent="0.2">
      <c r="A54" s="6" t="s">
        <v>43</v>
      </c>
      <c r="B54" s="7" t="s">
        <v>3302</v>
      </c>
      <c r="C54" s="14"/>
      <c r="D54" s="14"/>
      <c r="E54" s="14"/>
      <c r="F54" s="14"/>
      <c r="G54" s="14"/>
      <c r="H54" s="14"/>
      <c r="I54" s="14"/>
      <c r="J54" s="14"/>
      <c r="L54" s="14"/>
      <c r="M54" s="14"/>
      <c r="N54" s="14"/>
      <c r="O54" s="14"/>
      <c r="P54" s="14"/>
      <c r="Q54" s="14">
        <v>2597</v>
      </c>
      <c r="R54" s="14"/>
      <c r="T54" s="7">
        <v>15</v>
      </c>
      <c r="U54" s="7">
        <v>15</v>
      </c>
      <c r="AG54" s="14"/>
      <c r="AH54" s="14"/>
      <c r="AQ54" s="7" t="s">
        <v>1905</v>
      </c>
      <c r="AT54" s="7" t="s">
        <v>334</v>
      </c>
    </row>
    <row r="55" spans="1:47" x14ac:dyDescent="0.2">
      <c r="A55" s="6" t="s">
        <v>61</v>
      </c>
      <c r="B55" s="7" t="s">
        <v>3314</v>
      </c>
      <c r="C55" s="14"/>
      <c r="D55" s="14"/>
      <c r="E55" s="14"/>
      <c r="F55" s="14"/>
      <c r="G55" s="14"/>
      <c r="H55" s="14"/>
      <c r="I55" s="14"/>
      <c r="J55" s="15">
        <v>659.23</v>
      </c>
      <c r="M55" s="14"/>
      <c r="N55" s="14"/>
      <c r="P55" s="14"/>
      <c r="Q55" s="14"/>
      <c r="R55" s="14"/>
      <c r="AG55" s="14"/>
      <c r="AH55" s="14"/>
      <c r="AS55" s="7" t="s">
        <v>1929</v>
      </c>
      <c r="AT55" s="7" t="s">
        <v>334</v>
      </c>
    </row>
    <row r="56" spans="1:47" ht="38.25" x14ac:dyDescent="0.2">
      <c r="A56" s="6" t="s">
        <v>72</v>
      </c>
      <c r="B56" s="7" t="s">
        <v>3320</v>
      </c>
      <c r="C56" s="14">
        <v>480</v>
      </c>
      <c r="D56" s="14"/>
      <c r="E56" s="14"/>
      <c r="F56" s="14"/>
      <c r="G56" s="14">
        <v>1080</v>
      </c>
      <c r="H56" s="14"/>
      <c r="I56" s="14"/>
      <c r="J56" s="14">
        <v>1000</v>
      </c>
      <c r="L56" s="14">
        <v>840</v>
      </c>
      <c r="M56" s="14"/>
      <c r="N56" s="14"/>
      <c r="O56" s="14">
        <v>1080</v>
      </c>
      <c r="P56" s="14"/>
      <c r="Q56" s="14"/>
      <c r="R56" s="14"/>
      <c r="T56" s="7">
        <v>10</v>
      </c>
      <c r="V56" s="7" t="s">
        <v>358</v>
      </c>
      <c r="W56" s="7">
        <v>180</v>
      </c>
      <c r="Y56" s="7" t="s">
        <v>3329</v>
      </c>
      <c r="AA56" s="7" t="s">
        <v>251</v>
      </c>
      <c r="AB56" s="7" t="s">
        <v>251</v>
      </c>
      <c r="AC56" s="7" t="s">
        <v>334</v>
      </c>
      <c r="AD56" s="7" t="s">
        <v>334</v>
      </c>
      <c r="AG56" s="14">
        <v>1500</v>
      </c>
      <c r="AH56" s="14">
        <v>1500</v>
      </c>
      <c r="AS56" s="7" t="s">
        <v>1936</v>
      </c>
      <c r="AT56" s="7" t="s">
        <v>334</v>
      </c>
    </row>
    <row r="57" spans="1:47" ht="25.5" x14ac:dyDescent="0.2">
      <c r="A57" s="6" t="s">
        <v>16</v>
      </c>
      <c r="B57" s="7" t="s">
        <v>1868</v>
      </c>
      <c r="C57" s="14"/>
      <c r="D57" s="14"/>
      <c r="E57" s="14"/>
      <c r="F57" s="14"/>
      <c r="G57" s="14"/>
      <c r="H57" s="14"/>
      <c r="I57" s="14"/>
      <c r="J57" s="14"/>
      <c r="L57" s="14"/>
      <c r="M57" s="14"/>
      <c r="N57" s="14"/>
      <c r="O57" s="14"/>
      <c r="P57" s="14"/>
      <c r="Q57" s="14"/>
      <c r="R57" s="14"/>
      <c r="AG57" s="14"/>
      <c r="AH57" s="14"/>
      <c r="AI57" s="7" t="s">
        <v>3330</v>
      </c>
      <c r="AK57" s="7" t="s">
        <v>1863</v>
      </c>
      <c r="AT57" s="7" t="s">
        <v>334</v>
      </c>
    </row>
    <row r="58" spans="1:47" ht="63.75" x14ac:dyDescent="0.2">
      <c r="A58" s="6" t="s">
        <v>32</v>
      </c>
      <c r="B58" s="7" t="s">
        <v>3324</v>
      </c>
      <c r="C58" s="14"/>
      <c r="D58" s="14"/>
      <c r="E58" s="14"/>
      <c r="F58" s="14"/>
      <c r="G58" s="14"/>
      <c r="H58" s="14"/>
      <c r="I58" s="14">
        <v>100</v>
      </c>
      <c r="J58" s="14"/>
      <c r="L58" s="14">
        <v>600</v>
      </c>
      <c r="M58" s="14"/>
      <c r="N58" s="14"/>
      <c r="O58" s="14"/>
      <c r="P58" s="14"/>
      <c r="Q58" s="14"/>
      <c r="R58" s="14"/>
      <c r="V58" s="7" t="s">
        <v>358</v>
      </c>
      <c r="W58" s="7">
        <v>180</v>
      </c>
      <c r="Y58" s="7" t="s">
        <v>3329</v>
      </c>
      <c r="AA58" s="7" t="s">
        <v>251</v>
      </c>
      <c r="AB58" s="7" t="s">
        <v>251</v>
      </c>
      <c r="AC58" s="7" t="s">
        <v>251</v>
      </c>
      <c r="AD58" s="7" t="s">
        <v>251</v>
      </c>
      <c r="AE58" s="7" t="s">
        <v>130</v>
      </c>
      <c r="AF58" s="7" t="s">
        <v>1892</v>
      </c>
      <c r="AG58" s="14">
        <v>6000</v>
      </c>
      <c r="AH58" s="14">
        <v>6000</v>
      </c>
      <c r="AI58" s="7" t="s">
        <v>1333</v>
      </c>
      <c r="AK58" s="7" t="s">
        <v>1863</v>
      </c>
      <c r="AN58" s="7" t="s">
        <v>1893</v>
      </c>
      <c r="AT58" s="7" t="s">
        <v>334</v>
      </c>
    </row>
    <row r="59" spans="1:47" ht="63.75" x14ac:dyDescent="0.2">
      <c r="A59" s="6" t="s">
        <v>60</v>
      </c>
      <c r="B59" s="7" t="s">
        <v>3313</v>
      </c>
      <c r="C59" s="14"/>
      <c r="D59" s="14"/>
      <c r="E59" s="14"/>
      <c r="F59" s="14"/>
      <c r="G59" s="14"/>
      <c r="H59" s="14"/>
      <c r="I59" s="14"/>
      <c r="J59" s="14"/>
      <c r="L59" s="15">
        <v>899.88</v>
      </c>
      <c r="M59" s="14"/>
      <c r="N59" s="14"/>
      <c r="O59" s="15">
        <v>899.88</v>
      </c>
      <c r="P59" s="14">
        <v>40000</v>
      </c>
      <c r="Q59" s="14"/>
      <c r="R59" s="14"/>
      <c r="AG59" s="14"/>
      <c r="AH59" s="14"/>
      <c r="AP59" s="7" t="s">
        <v>3356</v>
      </c>
      <c r="AS59" s="7" t="s">
        <v>1928</v>
      </c>
      <c r="AT59" s="7" t="s">
        <v>334</v>
      </c>
    </row>
    <row r="60" spans="1:47" ht="127.5" x14ac:dyDescent="0.2">
      <c r="A60" s="6" t="s">
        <v>39</v>
      </c>
      <c r="B60" s="7" t="s">
        <v>3325</v>
      </c>
      <c r="C60" s="14">
        <v>1800</v>
      </c>
      <c r="D60" s="14">
        <v>1800</v>
      </c>
      <c r="E60" s="14">
        <v>1800</v>
      </c>
      <c r="F60" s="14"/>
      <c r="G60" s="14"/>
      <c r="H60" s="14">
        <v>13000</v>
      </c>
      <c r="I60" s="14"/>
      <c r="J60" s="14">
        <v>1000</v>
      </c>
      <c r="L60" s="14">
        <v>600</v>
      </c>
      <c r="M60" s="14"/>
      <c r="N60" s="14"/>
      <c r="O60" s="14">
        <v>960</v>
      </c>
      <c r="P60" s="14">
        <v>1800</v>
      </c>
      <c r="Q60" s="14">
        <v>1000</v>
      </c>
      <c r="R60" s="14">
        <v>1800</v>
      </c>
      <c r="S60" s="7">
        <v>0</v>
      </c>
      <c r="T60" s="7">
        <v>0</v>
      </c>
      <c r="U60" s="7">
        <v>0</v>
      </c>
      <c r="V60" s="7" t="s">
        <v>334</v>
      </c>
      <c r="Y60" s="7" t="s">
        <v>3329</v>
      </c>
      <c r="AA60" s="7" t="s">
        <v>251</v>
      </c>
      <c r="AB60" s="7" t="s">
        <v>251</v>
      </c>
      <c r="AC60" s="7" t="s">
        <v>251</v>
      </c>
      <c r="AD60" s="7" t="s">
        <v>334</v>
      </c>
      <c r="AG60" s="14">
        <v>6300</v>
      </c>
      <c r="AH60" s="14">
        <v>6300</v>
      </c>
      <c r="AP60" s="7" t="s">
        <v>3379</v>
      </c>
      <c r="AQ60" s="7" t="s">
        <v>1903</v>
      </c>
      <c r="AS60" s="7" t="s">
        <v>3380</v>
      </c>
      <c r="AT60" s="7" t="s">
        <v>334</v>
      </c>
    </row>
    <row r="61" spans="1:47" ht="25.5" x14ac:dyDescent="0.2">
      <c r="A61" s="6" t="s">
        <v>40</v>
      </c>
      <c r="B61" s="7" t="s">
        <v>3299</v>
      </c>
      <c r="C61" s="14"/>
      <c r="D61" s="14"/>
      <c r="E61" s="14"/>
      <c r="F61" s="14"/>
      <c r="G61" s="14"/>
      <c r="H61" s="14"/>
      <c r="I61" s="14"/>
      <c r="J61" s="14">
        <v>420</v>
      </c>
      <c r="L61" s="14">
        <v>420</v>
      </c>
      <c r="M61" s="14"/>
      <c r="N61" s="14"/>
      <c r="O61" s="14"/>
      <c r="P61" s="14"/>
      <c r="Q61" s="14"/>
      <c r="R61" s="14"/>
      <c r="V61" s="7" t="s">
        <v>334</v>
      </c>
      <c r="Y61" s="7" t="s">
        <v>1862</v>
      </c>
      <c r="AA61" s="7" t="s">
        <v>251</v>
      </c>
      <c r="AB61" s="7" t="s">
        <v>251</v>
      </c>
      <c r="AC61" s="7" t="s">
        <v>251</v>
      </c>
      <c r="AD61" s="7" t="s">
        <v>334</v>
      </c>
      <c r="AG61" s="14">
        <v>5000</v>
      </c>
      <c r="AH61" s="14">
        <v>5000</v>
      </c>
      <c r="AT61" s="7" t="s">
        <v>334</v>
      </c>
    </row>
    <row r="62" spans="1:47" ht="25.5" x14ac:dyDescent="0.2">
      <c r="A62" s="6" t="s">
        <v>44</v>
      </c>
      <c r="B62" s="7" t="s">
        <v>3303</v>
      </c>
      <c r="C62" s="14"/>
      <c r="D62" s="14"/>
      <c r="E62" s="14"/>
      <c r="F62" s="14"/>
      <c r="G62" s="14"/>
      <c r="H62" s="14"/>
      <c r="I62" s="14"/>
      <c r="J62" s="14"/>
      <c r="L62" s="14"/>
      <c r="M62" s="14"/>
      <c r="N62" s="14"/>
      <c r="O62" s="14"/>
      <c r="P62" s="14"/>
      <c r="Q62" s="14"/>
      <c r="R62" s="14"/>
      <c r="AG62" s="14"/>
      <c r="AH62" s="14"/>
      <c r="AT62" s="7" t="s">
        <v>334</v>
      </c>
    </row>
    <row r="63" spans="1:47" ht="25.5" x14ac:dyDescent="0.2">
      <c r="A63" s="6" t="s">
        <v>58</v>
      </c>
      <c r="B63" s="7" t="s">
        <v>3311</v>
      </c>
      <c r="C63" s="14"/>
      <c r="D63" s="14"/>
      <c r="E63" s="14"/>
      <c r="F63" s="14"/>
      <c r="G63" s="14"/>
      <c r="H63" s="14"/>
      <c r="I63" s="14"/>
      <c r="J63" s="14"/>
      <c r="M63" s="14"/>
      <c r="N63" s="14"/>
      <c r="P63" s="14"/>
      <c r="Q63" s="14">
        <v>300</v>
      </c>
      <c r="R63" s="14"/>
      <c r="V63" s="7" t="s">
        <v>334</v>
      </c>
      <c r="Y63" s="7" t="s">
        <v>3328</v>
      </c>
      <c r="Z63" s="7" t="s">
        <v>1922</v>
      </c>
      <c r="AA63" s="7" t="s">
        <v>334</v>
      </c>
      <c r="AB63" s="7" t="s">
        <v>334</v>
      </c>
      <c r="AC63" s="7" t="s">
        <v>251</v>
      </c>
      <c r="AD63" s="7" t="s">
        <v>334</v>
      </c>
      <c r="AG63" s="14">
        <v>2700</v>
      </c>
      <c r="AH63" s="14"/>
      <c r="AQ63" s="7" t="s">
        <v>1923</v>
      </c>
      <c r="AT63" s="7" t="s">
        <v>334</v>
      </c>
    </row>
    <row r="64" spans="1:47" x14ac:dyDescent="0.2">
      <c r="A64" s="6" t="s">
        <v>15</v>
      </c>
      <c r="B64" s="7" t="s">
        <v>3287</v>
      </c>
      <c r="C64" s="14"/>
      <c r="D64" s="14"/>
      <c r="E64" s="14"/>
      <c r="F64" s="14"/>
      <c r="G64" s="14"/>
      <c r="H64" s="14"/>
      <c r="I64" s="14"/>
      <c r="J64" s="14"/>
      <c r="L64" s="14"/>
      <c r="M64" s="14"/>
      <c r="N64" s="14"/>
      <c r="O64" s="14"/>
      <c r="P64" s="14"/>
      <c r="Q64" s="14"/>
      <c r="R64" s="14"/>
      <c r="V64" s="7" t="s">
        <v>334</v>
      </c>
      <c r="Y64" s="7" t="s">
        <v>1862</v>
      </c>
      <c r="AA64" s="7" t="s">
        <v>251</v>
      </c>
      <c r="AB64" s="7" t="s">
        <v>251</v>
      </c>
      <c r="AC64" s="7" t="s">
        <v>251</v>
      </c>
      <c r="AD64" s="7" t="s">
        <v>251</v>
      </c>
      <c r="AG64" s="14"/>
      <c r="AH64" s="14"/>
    </row>
    <row r="65" spans="1:47" x14ac:dyDescent="0.2">
      <c r="A65" s="21" t="s">
        <v>3357</v>
      </c>
      <c r="B65" s="7">
        <f t="shared" ref="B65:AU65" si="0">COUNTA(B3:B64)</f>
        <v>62</v>
      </c>
      <c r="C65" s="7">
        <f t="shared" si="0"/>
        <v>4</v>
      </c>
      <c r="D65" s="7">
        <f t="shared" si="0"/>
        <v>2</v>
      </c>
      <c r="E65" s="7">
        <f t="shared" si="0"/>
        <v>2</v>
      </c>
      <c r="F65" s="7">
        <f t="shared" si="0"/>
        <v>0</v>
      </c>
      <c r="G65" s="7">
        <f t="shared" si="0"/>
        <v>4</v>
      </c>
      <c r="H65" s="7">
        <f t="shared" si="0"/>
        <v>1</v>
      </c>
      <c r="I65" s="7">
        <f t="shared" si="0"/>
        <v>1</v>
      </c>
      <c r="J65" s="7">
        <f t="shared" si="0"/>
        <v>16</v>
      </c>
      <c r="K65" s="7">
        <f t="shared" si="0"/>
        <v>0</v>
      </c>
      <c r="L65" s="7">
        <f t="shared" si="0"/>
        <v>17</v>
      </c>
      <c r="M65" s="7">
        <f t="shared" si="0"/>
        <v>1</v>
      </c>
      <c r="N65" s="7">
        <f t="shared" si="0"/>
        <v>5</v>
      </c>
      <c r="O65" s="7">
        <f t="shared" si="0"/>
        <v>7</v>
      </c>
      <c r="P65" s="7">
        <f t="shared" si="0"/>
        <v>3</v>
      </c>
      <c r="Q65" s="7">
        <f t="shared" si="0"/>
        <v>5</v>
      </c>
      <c r="R65" s="7">
        <f t="shared" si="0"/>
        <v>7</v>
      </c>
      <c r="S65" s="7">
        <f t="shared" si="0"/>
        <v>2</v>
      </c>
      <c r="T65" s="7">
        <f t="shared" si="0"/>
        <v>11</v>
      </c>
      <c r="U65" s="7">
        <f t="shared" si="0"/>
        <v>9</v>
      </c>
      <c r="V65" s="7">
        <f t="shared" si="0"/>
        <v>35</v>
      </c>
      <c r="W65" s="7">
        <f t="shared" si="0"/>
        <v>8</v>
      </c>
      <c r="X65" s="7">
        <f t="shared" si="0"/>
        <v>0</v>
      </c>
      <c r="Y65" s="7">
        <f t="shared" si="0"/>
        <v>35</v>
      </c>
      <c r="Z65" s="7">
        <f t="shared" si="0"/>
        <v>4</v>
      </c>
      <c r="AA65" s="7">
        <f t="shared" si="0"/>
        <v>35</v>
      </c>
      <c r="AB65" s="7">
        <f t="shared" si="0"/>
        <v>35</v>
      </c>
      <c r="AC65" s="7">
        <f t="shared" si="0"/>
        <v>35</v>
      </c>
      <c r="AD65" s="7">
        <f t="shared" si="0"/>
        <v>35</v>
      </c>
      <c r="AE65" s="7">
        <f t="shared" si="0"/>
        <v>6</v>
      </c>
      <c r="AF65" s="7">
        <f t="shared" si="0"/>
        <v>3</v>
      </c>
      <c r="AG65" s="7">
        <f t="shared" si="0"/>
        <v>30</v>
      </c>
      <c r="AH65" s="7">
        <f t="shared" si="0"/>
        <v>24</v>
      </c>
      <c r="AI65" s="7">
        <f t="shared" si="0"/>
        <v>20</v>
      </c>
      <c r="AJ65" s="7">
        <f t="shared" si="0"/>
        <v>6</v>
      </c>
      <c r="AK65" s="7">
        <f t="shared" si="0"/>
        <v>19</v>
      </c>
      <c r="AL65" s="7">
        <f t="shared" si="0"/>
        <v>4</v>
      </c>
      <c r="AM65" s="7">
        <f t="shared" si="0"/>
        <v>0</v>
      </c>
      <c r="AN65" s="7">
        <f t="shared" si="0"/>
        <v>8</v>
      </c>
      <c r="AO65" s="7">
        <f t="shared" si="0"/>
        <v>4</v>
      </c>
      <c r="AP65" s="7">
        <f t="shared" si="0"/>
        <v>8</v>
      </c>
      <c r="AQ65" s="7">
        <f t="shared" si="0"/>
        <v>5</v>
      </c>
      <c r="AR65" s="7">
        <f t="shared" si="0"/>
        <v>5</v>
      </c>
      <c r="AS65" s="7">
        <f t="shared" si="0"/>
        <v>32</v>
      </c>
      <c r="AT65" s="7">
        <f t="shared" si="0"/>
        <v>54</v>
      </c>
      <c r="AU65" s="7">
        <f t="shared" si="0"/>
        <v>3</v>
      </c>
    </row>
  </sheetData>
  <autoFilter ref="A2:AU64" xr:uid="{484C9442-A88F-4FDF-8B88-C152508918AF}"/>
  <sortState xmlns:xlrd2="http://schemas.microsoft.com/office/spreadsheetml/2017/richdata2" ref="A3:AU64">
    <sortCondition ref="A3:A64"/>
  </sortState>
  <hyperlinks>
    <hyperlink ref="A1" location="Index!A1" display="Back to Index" xr:uid="{00000000-0004-0000-0A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2.28515625" style="6" customWidth="1"/>
    <col min="2" max="5" width="30.7109375" style="7" customWidth="1"/>
    <col min="6" max="16384" width="15.7109375" style="6"/>
  </cols>
  <sheetData>
    <row r="1" spans="1:5" s="9" customFormat="1" x14ac:dyDescent="0.2">
      <c r="A1" s="12" t="s">
        <v>1984</v>
      </c>
      <c r="B1" s="8" t="s">
        <v>1937</v>
      </c>
      <c r="C1" s="8" t="s">
        <v>1938</v>
      </c>
      <c r="D1" s="8" t="s">
        <v>1939</v>
      </c>
      <c r="E1" s="8" t="s">
        <v>1940</v>
      </c>
    </row>
    <row r="2" spans="1:5" s="9" customFormat="1" ht="25.5" x14ac:dyDescent="0.2">
      <c r="A2" s="9" t="s">
        <v>2713</v>
      </c>
      <c r="B2" s="17" t="s">
        <v>2704</v>
      </c>
      <c r="C2" s="8" t="s">
        <v>2705</v>
      </c>
      <c r="D2" s="8" t="s">
        <v>2706</v>
      </c>
      <c r="E2" s="17" t="s">
        <v>2707</v>
      </c>
    </row>
    <row r="3" spans="1:5" x14ac:dyDescent="0.2">
      <c r="A3" s="6" t="s">
        <v>69</v>
      </c>
      <c r="B3" s="7" t="s">
        <v>334</v>
      </c>
    </row>
    <row r="4" spans="1:5" x14ac:dyDescent="0.2">
      <c r="A4" s="6" t="s">
        <v>45</v>
      </c>
      <c r="B4" s="7" t="s">
        <v>334</v>
      </c>
    </row>
    <row r="5" spans="1:5" x14ac:dyDescent="0.2">
      <c r="A5" s="6" t="s">
        <v>18</v>
      </c>
      <c r="B5" s="7" t="s">
        <v>334</v>
      </c>
    </row>
    <row r="6" spans="1:5" x14ac:dyDescent="0.2">
      <c r="A6" s="6" t="s">
        <v>30</v>
      </c>
      <c r="B6" s="7" t="s">
        <v>334</v>
      </c>
    </row>
    <row r="7" spans="1:5" x14ac:dyDescent="0.2">
      <c r="A7" s="6" t="s">
        <v>66</v>
      </c>
      <c r="B7" s="7" t="s">
        <v>334</v>
      </c>
    </row>
    <row r="8" spans="1:5" x14ac:dyDescent="0.2">
      <c r="A8" s="6" t="s">
        <v>34</v>
      </c>
      <c r="B8" s="7" t="s">
        <v>334</v>
      </c>
    </row>
    <row r="9" spans="1:5" ht="76.5" x14ac:dyDescent="0.2">
      <c r="A9" s="6" t="s">
        <v>31</v>
      </c>
      <c r="B9" s="7" t="s">
        <v>251</v>
      </c>
      <c r="C9" s="7" t="s">
        <v>3334</v>
      </c>
      <c r="E9" s="7" t="s">
        <v>1941</v>
      </c>
    </row>
    <row r="10" spans="1:5" x14ac:dyDescent="0.2">
      <c r="A10" s="6" t="s">
        <v>46</v>
      </c>
      <c r="B10" s="7" t="s">
        <v>334</v>
      </c>
    </row>
    <row r="11" spans="1:5" x14ac:dyDescent="0.2">
      <c r="A11" s="6" t="s">
        <v>42</v>
      </c>
      <c r="B11" s="7" t="s">
        <v>334</v>
      </c>
    </row>
    <row r="12" spans="1:5" ht="89.25" x14ac:dyDescent="0.2">
      <c r="A12" s="6" t="s">
        <v>33</v>
      </c>
      <c r="B12" s="7" t="s">
        <v>251</v>
      </c>
      <c r="C12" s="7" t="s">
        <v>3335</v>
      </c>
      <c r="E12" s="7" t="s">
        <v>1886</v>
      </c>
    </row>
    <row r="13" spans="1:5" x14ac:dyDescent="0.2">
      <c r="A13" s="6" t="s">
        <v>55</v>
      </c>
      <c r="B13" s="7" t="s">
        <v>334</v>
      </c>
    </row>
    <row r="14" spans="1:5" x14ac:dyDescent="0.2">
      <c r="A14" s="6" t="s">
        <v>48</v>
      </c>
      <c r="B14" s="7" t="s">
        <v>334</v>
      </c>
    </row>
    <row r="15" spans="1:5" x14ac:dyDescent="0.2">
      <c r="A15" s="6" t="s">
        <v>57</v>
      </c>
      <c r="B15" s="7" t="s">
        <v>334</v>
      </c>
    </row>
    <row r="16" spans="1:5" x14ac:dyDescent="0.2">
      <c r="A16" s="6" t="s">
        <v>54</v>
      </c>
      <c r="B16" s="7" t="s">
        <v>334</v>
      </c>
    </row>
    <row r="17" spans="1:2" x14ac:dyDescent="0.2">
      <c r="A17" s="6" t="s">
        <v>23</v>
      </c>
      <c r="B17" s="7" t="s">
        <v>334</v>
      </c>
    </row>
    <row r="18" spans="1:2" x14ac:dyDescent="0.2">
      <c r="A18" s="6" t="s">
        <v>27</v>
      </c>
      <c r="B18" s="7" t="s">
        <v>334</v>
      </c>
    </row>
    <row r="19" spans="1:2" x14ac:dyDescent="0.2">
      <c r="A19" s="6" t="s">
        <v>63</v>
      </c>
      <c r="B19" s="7" t="s">
        <v>334</v>
      </c>
    </row>
    <row r="20" spans="1:2" x14ac:dyDescent="0.2">
      <c r="A20" s="6" t="s">
        <v>25</v>
      </c>
      <c r="B20" s="7" t="s">
        <v>334</v>
      </c>
    </row>
    <row r="21" spans="1:2" x14ac:dyDescent="0.2">
      <c r="A21" s="6" t="s">
        <v>26</v>
      </c>
      <c r="B21" s="7" t="s">
        <v>334</v>
      </c>
    </row>
    <row r="22" spans="1:2" x14ac:dyDescent="0.2">
      <c r="A22" s="6" t="s">
        <v>20</v>
      </c>
      <c r="B22" s="7" t="s">
        <v>334</v>
      </c>
    </row>
    <row r="23" spans="1:2" x14ac:dyDescent="0.2">
      <c r="A23" s="6" t="s">
        <v>70</v>
      </c>
      <c r="B23" s="7" t="s">
        <v>334</v>
      </c>
    </row>
    <row r="24" spans="1:2" x14ac:dyDescent="0.2">
      <c r="A24" s="6" t="s">
        <v>14</v>
      </c>
      <c r="B24" s="7" t="s">
        <v>334</v>
      </c>
    </row>
    <row r="25" spans="1:2" x14ac:dyDescent="0.2">
      <c r="A25" s="6" t="s">
        <v>24</v>
      </c>
      <c r="B25" s="7" t="s">
        <v>334</v>
      </c>
    </row>
    <row r="26" spans="1:2" x14ac:dyDescent="0.2">
      <c r="A26" s="6" t="s">
        <v>37</v>
      </c>
      <c r="B26" s="7" t="s">
        <v>334</v>
      </c>
    </row>
    <row r="27" spans="1:2" x14ac:dyDescent="0.2">
      <c r="A27" s="6" t="s">
        <v>13</v>
      </c>
      <c r="B27" s="7" t="s">
        <v>334</v>
      </c>
    </row>
    <row r="28" spans="1:2" x14ac:dyDescent="0.2">
      <c r="A28" s="6" t="s">
        <v>35</v>
      </c>
      <c r="B28" s="7" t="s">
        <v>334</v>
      </c>
    </row>
    <row r="29" spans="1:2" x14ac:dyDescent="0.2">
      <c r="A29" s="6" t="s">
        <v>67</v>
      </c>
      <c r="B29" s="7" t="s">
        <v>334</v>
      </c>
    </row>
    <row r="30" spans="1:2" x14ac:dyDescent="0.2">
      <c r="A30" s="6" t="s">
        <v>49</v>
      </c>
      <c r="B30" s="7" t="s">
        <v>334</v>
      </c>
    </row>
    <row r="31" spans="1:2" x14ac:dyDescent="0.2">
      <c r="A31" s="6" t="s">
        <v>68</v>
      </c>
      <c r="B31" s="7" t="s">
        <v>334</v>
      </c>
    </row>
    <row r="32" spans="1:2" x14ac:dyDescent="0.2">
      <c r="A32" s="6" t="s">
        <v>11</v>
      </c>
      <c r="B32" s="7" t="s">
        <v>334</v>
      </c>
    </row>
    <row r="33" spans="1:5" x14ac:dyDescent="0.2">
      <c r="A33" s="6" t="s">
        <v>50</v>
      </c>
      <c r="B33" s="7" t="s">
        <v>334</v>
      </c>
    </row>
    <row r="34" spans="1:5" x14ac:dyDescent="0.2">
      <c r="A34" s="6" t="s">
        <v>71</v>
      </c>
      <c r="B34" s="7" t="s">
        <v>334</v>
      </c>
    </row>
    <row r="35" spans="1:5" x14ac:dyDescent="0.2">
      <c r="A35" s="6" t="s">
        <v>65</v>
      </c>
      <c r="B35" s="7" t="s">
        <v>334</v>
      </c>
    </row>
    <row r="36" spans="1:5" x14ac:dyDescent="0.2">
      <c r="A36" s="6" t="s">
        <v>59</v>
      </c>
      <c r="B36" s="7" t="s">
        <v>334</v>
      </c>
    </row>
    <row r="37" spans="1:5" x14ac:dyDescent="0.2">
      <c r="A37" s="6" t="s">
        <v>36</v>
      </c>
      <c r="B37" s="7" t="s">
        <v>334</v>
      </c>
    </row>
    <row r="38" spans="1:5" x14ac:dyDescent="0.2">
      <c r="A38" s="6" t="s">
        <v>28</v>
      </c>
      <c r="B38" s="7" t="s">
        <v>334</v>
      </c>
    </row>
    <row r="39" spans="1:5" x14ac:dyDescent="0.2">
      <c r="A39" s="6" t="s">
        <v>52</v>
      </c>
      <c r="B39" s="7" t="s">
        <v>334</v>
      </c>
    </row>
    <row r="40" spans="1:5" x14ac:dyDescent="0.2">
      <c r="A40" s="6" t="s">
        <v>19</v>
      </c>
      <c r="B40" s="7" t="s">
        <v>334</v>
      </c>
    </row>
    <row r="41" spans="1:5" ht="89.25" x14ac:dyDescent="0.2">
      <c r="A41" s="6" t="s">
        <v>51</v>
      </c>
      <c r="B41" s="7" t="s">
        <v>251</v>
      </c>
      <c r="C41" s="7" t="s">
        <v>3337</v>
      </c>
    </row>
    <row r="42" spans="1:5" x14ac:dyDescent="0.2">
      <c r="A42" s="6" t="s">
        <v>47</v>
      </c>
      <c r="B42" s="7" t="s">
        <v>334</v>
      </c>
    </row>
    <row r="43" spans="1:5" x14ac:dyDescent="0.2">
      <c r="A43" s="6" t="s">
        <v>56</v>
      </c>
      <c r="B43" s="7" t="s">
        <v>334</v>
      </c>
    </row>
    <row r="44" spans="1:5" x14ac:dyDescent="0.2">
      <c r="A44" s="6" t="s">
        <v>62</v>
      </c>
      <c r="B44" s="7" t="s">
        <v>334</v>
      </c>
    </row>
    <row r="45" spans="1:5" x14ac:dyDescent="0.2">
      <c r="A45" s="6" t="s">
        <v>21</v>
      </c>
      <c r="B45" s="7" t="s">
        <v>334</v>
      </c>
    </row>
    <row r="46" spans="1:5" x14ac:dyDescent="0.2">
      <c r="A46" s="6" t="s">
        <v>12</v>
      </c>
      <c r="B46" s="7" t="s">
        <v>334</v>
      </c>
    </row>
    <row r="47" spans="1:5" x14ac:dyDescent="0.2">
      <c r="A47" s="6" t="s">
        <v>64</v>
      </c>
      <c r="B47" s="7" t="s">
        <v>334</v>
      </c>
    </row>
    <row r="48" spans="1:5" ht="140.25" x14ac:dyDescent="0.2">
      <c r="A48" s="6" t="s">
        <v>38</v>
      </c>
      <c r="B48" s="7" t="s">
        <v>251</v>
      </c>
      <c r="C48" s="7" t="s">
        <v>3336</v>
      </c>
      <c r="E48" s="7" t="s">
        <v>1942</v>
      </c>
    </row>
    <row r="49" spans="1:5" x14ac:dyDescent="0.2">
      <c r="A49" s="6" t="s">
        <v>41</v>
      </c>
      <c r="B49" s="7" t="s">
        <v>251</v>
      </c>
      <c r="C49" s="7" t="s">
        <v>1943</v>
      </c>
      <c r="E49" s="16">
        <v>750</v>
      </c>
    </row>
    <row r="50" spans="1:5" x14ac:dyDescent="0.2">
      <c r="A50" s="6" t="s">
        <v>29</v>
      </c>
      <c r="B50" s="7" t="s">
        <v>345</v>
      </c>
    </row>
    <row r="51" spans="1:5" x14ac:dyDescent="0.2">
      <c r="A51" s="6" t="s">
        <v>17</v>
      </c>
      <c r="B51" s="7" t="s">
        <v>334</v>
      </c>
    </row>
    <row r="52" spans="1:5" x14ac:dyDescent="0.2">
      <c r="A52" s="6" t="s">
        <v>22</v>
      </c>
      <c r="B52" s="7" t="s">
        <v>334</v>
      </c>
    </row>
    <row r="53" spans="1:5" x14ac:dyDescent="0.2">
      <c r="A53" s="6" t="s">
        <v>53</v>
      </c>
      <c r="B53" s="7" t="s">
        <v>334</v>
      </c>
    </row>
    <row r="54" spans="1:5" x14ac:dyDescent="0.2">
      <c r="A54" s="6" t="s">
        <v>43</v>
      </c>
      <c r="B54" s="7" t="s">
        <v>334</v>
      </c>
    </row>
    <row r="55" spans="1:5" x14ac:dyDescent="0.2">
      <c r="A55" s="6" t="s">
        <v>61</v>
      </c>
      <c r="B55" s="7" t="s">
        <v>334</v>
      </c>
    </row>
    <row r="56" spans="1:5" x14ac:dyDescent="0.2">
      <c r="A56" s="6" t="s">
        <v>72</v>
      </c>
      <c r="B56" s="7" t="s">
        <v>334</v>
      </c>
    </row>
    <row r="57" spans="1:5" x14ac:dyDescent="0.2">
      <c r="A57" s="6" t="s">
        <v>16</v>
      </c>
      <c r="B57" s="7" t="s">
        <v>334</v>
      </c>
    </row>
    <row r="58" spans="1:5" x14ac:dyDescent="0.2">
      <c r="A58" s="6" t="s">
        <v>32</v>
      </c>
      <c r="B58" s="7" t="s">
        <v>334</v>
      </c>
    </row>
    <row r="59" spans="1:5" x14ac:dyDescent="0.2">
      <c r="A59" s="6" t="s">
        <v>60</v>
      </c>
      <c r="B59" s="7" t="s">
        <v>334</v>
      </c>
    </row>
    <row r="60" spans="1:5" x14ac:dyDescent="0.2">
      <c r="A60" s="6" t="s">
        <v>39</v>
      </c>
      <c r="B60" s="7" t="s">
        <v>334</v>
      </c>
    </row>
    <row r="61" spans="1:5" x14ac:dyDescent="0.2">
      <c r="A61" s="6" t="s">
        <v>40</v>
      </c>
      <c r="B61" s="7" t="s">
        <v>334</v>
      </c>
    </row>
    <row r="62" spans="1:5" x14ac:dyDescent="0.2">
      <c r="A62" s="6" t="s">
        <v>44</v>
      </c>
      <c r="B62" s="7" t="s">
        <v>334</v>
      </c>
    </row>
    <row r="63" spans="1:5" x14ac:dyDescent="0.2">
      <c r="A63" s="6" t="s">
        <v>58</v>
      </c>
      <c r="B63" s="7" t="s">
        <v>334</v>
      </c>
    </row>
    <row r="64" spans="1:5" x14ac:dyDescent="0.2">
      <c r="A64" s="6" t="s">
        <v>15</v>
      </c>
      <c r="B64" s="7" t="s">
        <v>345</v>
      </c>
    </row>
    <row r="65" spans="1:5" x14ac:dyDescent="0.2">
      <c r="A65" s="21" t="s">
        <v>3357</v>
      </c>
      <c r="B65" s="7">
        <f>COUNTA(B3:B64)</f>
        <v>62</v>
      </c>
      <c r="C65" s="7">
        <f>COUNTA(C3:C64)</f>
        <v>5</v>
      </c>
      <c r="D65" s="7">
        <f>COUNTA(D3:D64)</f>
        <v>0</v>
      </c>
      <c r="E65" s="7">
        <f>COUNTA(E3:E64)</f>
        <v>4</v>
      </c>
    </row>
  </sheetData>
  <autoFilter ref="A2:E64" xr:uid="{6B595407-7D76-472C-B448-C2AE7931902D}"/>
  <sortState xmlns:xlrd2="http://schemas.microsoft.com/office/spreadsheetml/2017/richdata2" ref="A3:E64">
    <sortCondition ref="A3:A64"/>
  </sortState>
  <hyperlinks>
    <hyperlink ref="A1" location="Index!A1" display="Back to Index" xr:uid="{00000000-0004-0000-0B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3.85546875" style="6" customWidth="1"/>
    <col min="2" max="4" width="30.7109375" style="7" customWidth="1"/>
    <col min="5" max="16384" width="15.7109375" style="6"/>
  </cols>
  <sheetData>
    <row r="1" spans="1:4" s="9" customFormat="1" x14ac:dyDescent="0.2">
      <c r="A1" s="12" t="s">
        <v>1984</v>
      </c>
      <c r="B1" s="8" t="s">
        <v>1944</v>
      </c>
      <c r="C1" s="8" t="s">
        <v>1945</v>
      </c>
      <c r="D1" s="8" t="s">
        <v>1946</v>
      </c>
    </row>
    <row r="2" spans="1:4" s="9" customFormat="1" ht="25.5" x14ac:dyDescent="0.2">
      <c r="A2" s="9" t="s">
        <v>2713</v>
      </c>
      <c r="B2" s="17" t="s">
        <v>2708</v>
      </c>
      <c r="C2" s="8" t="s">
        <v>2709</v>
      </c>
      <c r="D2" s="8" t="s">
        <v>2710</v>
      </c>
    </row>
    <row r="3" spans="1:4" x14ac:dyDescent="0.2">
      <c r="A3" s="6" t="s">
        <v>69</v>
      </c>
      <c r="B3" s="7" t="s">
        <v>334</v>
      </c>
    </row>
    <row r="4" spans="1:4" x14ac:dyDescent="0.2">
      <c r="A4" s="6" t="s">
        <v>45</v>
      </c>
      <c r="B4" s="7" t="s">
        <v>334</v>
      </c>
    </row>
    <row r="5" spans="1:4" x14ac:dyDescent="0.2">
      <c r="A5" s="6" t="s">
        <v>18</v>
      </c>
      <c r="B5" s="7" t="s">
        <v>334</v>
      </c>
    </row>
    <row r="6" spans="1:4" x14ac:dyDescent="0.2">
      <c r="A6" s="6" t="s">
        <v>30</v>
      </c>
      <c r="B6" s="7" t="s">
        <v>334</v>
      </c>
    </row>
    <row r="7" spans="1:4" x14ac:dyDescent="0.2">
      <c r="A7" s="6" t="s">
        <v>66</v>
      </c>
      <c r="B7" s="7" t="s">
        <v>334</v>
      </c>
    </row>
    <row r="8" spans="1:4" x14ac:dyDescent="0.2">
      <c r="A8" s="6" t="s">
        <v>34</v>
      </c>
      <c r="B8" s="7" t="s">
        <v>334</v>
      </c>
    </row>
    <row r="9" spans="1:4" x14ac:dyDescent="0.2">
      <c r="A9" s="6" t="s">
        <v>31</v>
      </c>
      <c r="B9" s="7" t="s">
        <v>334</v>
      </c>
    </row>
    <row r="10" spans="1:4" x14ac:dyDescent="0.2">
      <c r="A10" s="6" t="s">
        <v>46</v>
      </c>
      <c r="B10" s="7" t="s">
        <v>334</v>
      </c>
    </row>
    <row r="11" spans="1:4" x14ac:dyDescent="0.2">
      <c r="A11" s="6" t="s">
        <v>42</v>
      </c>
      <c r="B11" s="7" t="s">
        <v>334</v>
      </c>
    </row>
    <row r="12" spans="1:4" x14ac:dyDescent="0.2">
      <c r="A12" s="6" t="s">
        <v>33</v>
      </c>
      <c r="B12" s="7" t="s">
        <v>251</v>
      </c>
    </row>
    <row r="13" spans="1:4" x14ac:dyDescent="0.2">
      <c r="A13" s="6" t="s">
        <v>55</v>
      </c>
      <c r="B13" s="7" t="s">
        <v>334</v>
      </c>
    </row>
    <row r="14" spans="1:4" x14ac:dyDescent="0.2">
      <c r="A14" s="6" t="s">
        <v>48</v>
      </c>
      <c r="B14" s="7" t="s">
        <v>334</v>
      </c>
    </row>
    <row r="15" spans="1:4" x14ac:dyDescent="0.2">
      <c r="A15" s="6" t="s">
        <v>57</v>
      </c>
      <c r="B15" s="7" t="s">
        <v>334</v>
      </c>
    </row>
    <row r="16" spans="1:4" x14ac:dyDescent="0.2">
      <c r="A16" s="6" t="s">
        <v>54</v>
      </c>
      <c r="B16" s="7" t="s">
        <v>334</v>
      </c>
    </row>
    <row r="17" spans="1:4" x14ac:dyDescent="0.2">
      <c r="A17" s="6" t="s">
        <v>23</v>
      </c>
      <c r="B17" s="7" t="s">
        <v>251</v>
      </c>
      <c r="C17" s="7" t="s">
        <v>380</v>
      </c>
      <c r="D17" s="7" t="s">
        <v>1947</v>
      </c>
    </row>
    <row r="18" spans="1:4" x14ac:dyDescent="0.2">
      <c r="A18" s="6" t="s">
        <v>27</v>
      </c>
      <c r="B18" s="7" t="s">
        <v>334</v>
      </c>
    </row>
    <row r="19" spans="1:4" x14ac:dyDescent="0.2">
      <c r="A19" s="6" t="s">
        <v>63</v>
      </c>
      <c r="B19" s="7" t="s">
        <v>334</v>
      </c>
    </row>
    <row r="20" spans="1:4" x14ac:dyDescent="0.2">
      <c r="A20" s="6" t="s">
        <v>25</v>
      </c>
      <c r="B20" s="7" t="s">
        <v>334</v>
      </c>
    </row>
    <row r="21" spans="1:4" ht="25.5" x14ac:dyDescent="0.2">
      <c r="A21" s="6" t="s">
        <v>26</v>
      </c>
      <c r="B21" s="7" t="s">
        <v>251</v>
      </c>
      <c r="C21" s="7" t="s">
        <v>3340</v>
      </c>
    </row>
    <row r="22" spans="1:4" x14ac:dyDescent="0.2">
      <c r="A22" s="6" t="s">
        <v>20</v>
      </c>
      <c r="B22" s="7" t="s">
        <v>334</v>
      </c>
    </row>
    <row r="23" spans="1:4" x14ac:dyDescent="0.2">
      <c r="A23" s="6" t="s">
        <v>70</v>
      </c>
      <c r="B23" s="7" t="s">
        <v>334</v>
      </c>
    </row>
    <row r="24" spans="1:4" x14ac:dyDescent="0.2">
      <c r="A24" s="6" t="s">
        <v>14</v>
      </c>
      <c r="B24" s="7" t="s">
        <v>334</v>
      </c>
    </row>
    <row r="25" spans="1:4" x14ac:dyDescent="0.2">
      <c r="A25" s="6" t="s">
        <v>24</v>
      </c>
      <c r="B25" s="7" t="s">
        <v>334</v>
      </c>
    </row>
    <row r="26" spans="1:4" x14ac:dyDescent="0.2">
      <c r="A26" s="6" t="s">
        <v>37</v>
      </c>
      <c r="B26" s="7" t="s">
        <v>334</v>
      </c>
    </row>
    <row r="27" spans="1:4" x14ac:dyDescent="0.2">
      <c r="A27" s="6" t="s">
        <v>13</v>
      </c>
      <c r="B27" s="7" t="s">
        <v>334</v>
      </c>
    </row>
    <row r="28" spans="1:4" x14ac:dyDescent="0.2">
      <c r="A28" s="6" t="s">
        <v>35</v>
      </c>
      <c r="B28" s="7" t="s">
        <v>334</v>
      </c>
    </row>
    <row r="29" spans="1:4" x14ac:dyDescent="0.2">
      <c r="A29" s="6" t="s">
        <v>67</v>
      </c>
      <c r="B29" s="7" t="s">
        <v>334</v>
      </c>
    </row>
    <row r="30" spans="1:4" x14ac:dyDescent="0.2">
      <c r="A30" s="6" t="s">
        <v>49</v>
      </c>
      <c r="B30" s="7" t="s">
        <v>334</v>
      </c>
    </row>
    <row r="31" spans="1:4" x14ac:dyDescent="0.2">
      <c r="A31" s="6" t="s">
        <v>68</v>
      </c>
      <c r="B31" s="7" t="s">
        <v>334</v>
      </c>
    </row>
    <row r="32" spans="1:4" x14ac:dyDescent="0.2">
      <c r="A32" s="6" t="s">
        <v>11</v>
      </c>
      <c r="B32" s="7" t="s">
        <v>334</v>
      </c>
    </row>
    <row r="33" spans="1:3" x14ac:dyDescent="0.2">
      <c r="A33" s="6" t="s">
        <v>50</v>
      </c>
      <c r="B33" s="7" t="s">
        <v>334</v>
      </c>
    </row>
    <row r="34" spans="1:3" x14ac:dyDescent="0.2">
      <c r="A34" s="6" t="s">
        <v>71</v>
      </c>
      <c r="B34" s="7" t="s">
        <v>334</v>
      </c>
    </row>
    <row r="35" spans="1:3" x14ac:dyDescent="0.2">
      <c r="A35" s="6" t="s">
        <v>65</v>
      </c>
      <c r="B35" s="7" t="s">
        <v>334</v>
      </c>
    </row>
    <row r="36" spans="1:3" ht="25.5" x14ac:dyDescent="0.2">
      <c r="A36" s="6" t="s">
        <v>59</v>
      </c>
      <c r="B36" s="7" t="s">
        <v>251</v>
      </c>
      <c r="C36" s="7" t="s">
        <v>3341</v>
      </c>
    </row>
    <row r="37" spans="1:3" x14ac:dyDescent="0.2">
      <c r="A37" s="6" t="s">
        <v>36</v>
      </c>
      <c r="B37" s="7" t="s">
        <v>334</v>
      </c>
    </row>
    <row r="38" spans="1:3" x14ac:dyDescent="0.2">
      <c r="A38" s="6" t="s">
        <v>28</v>
      </c>
      <c r="B38" s="7" t="s">
        <v>334</v>
      </c>
    </row>
    <row r="39" spans="1:3" x14ac:dyDescent="0.2">
      <c r="A39" s="6" t="s">
        <v>52</v>
      </c>
      <c r="B39" s="7" t="s">
        <v>334</v>
      </c>
    </row>
    <row r="40" spans="1:3" x14ac:dyDescent="0.2">
      <c r="A40" s="6" t="s">
        <v>19</v>
      </c>
      <c r="B40" s="7" t="s">
        <v>334</v>
      </c>
    </row>
    <row r="41" spans="1:3" x14ac:dyDescent="0.2">
      <c r="A41" s="6" t="s">
        <v>51</v>
      </c>
      <c r="B41" s="7" t="s">
        <v>334</v>
      </c>
    </row>
    <row r="42" spans="1:3" x14ac:dyDescent="0.2">
      <c r="A42" s="6" t="s">
        <v>47</v>
      </c>
      <c r="B42" s="7" t="s">
        <v>334</v>
      </c>
    </row>
    <row r="43" spans="1:3" x14ac:dyDescent="0.2">
      <c r="A43" s="6" t="s">
        <v>56</v>
      </c>
      <c r="B43" s="7" t="s">
        <v>334</v>
      </c>
    </row>
    <row r="44" spans="1:3" x14ac:dyDescent="0.2">
      <c r="A44" s="6" t="s">
        <v>62</v>
      </c>
      <c r="B44" s="7" t="s">
        <v>334</v>
      </c>
    </row>
    <row r="45" spans="1:3" x14ac:dyDescent="0.2">
      <c r="A45" s="6" t="s">
        <v>21</v>
      </c>
      <c r="B45" s="7" t="s">
        <v>334</v>
      </c>
    </row>
    <row r="46" spans="1:3" x14ac:dyDescent="0.2">
      <c r="A46" s="6" t="s">
        <v>12</v>
      </c>
      <c r="B46" s="7" t="s">
        <v>334</v>
      </c>
    </row>
    <row r="47" spans="1:3" x14ac:dyDescent="0.2">
      <c r="A47" s="6" t="s">
        <v>64</v>
      </c>
      <c r="B47" s="7" t="s">
        <v>334</v>
      </c>
    </row>
    <row r="48" spans="1:3" ht="38.25" x14ac:dyDescent="0.2">
      <c r="A48" s="6" t="s">
        <v>38</v>
      </c>
      <c r="B48" s="7" t="s">
        <v>251</v>
      </c>
      <c r="C48" s="7" t="s">
        <v>3344</v>
      </c>
    </row>
    <row r="49" spans="1:4" x14ac:dyDescent="0.2">
      <c r="A49" s="6" t="s">
        <v>41</v>
      </c>
      <c r="B49" s="7" t="s">
        <v>334</v>
      </c>
    </row>
    <row r="50" spans="1:4" ht="51" x14ac:dyDescent="0.2">
      <c r="A50" s="6" t="s">
        <v>29</v>
      </c>
      <c r="B50" s="7" t="s">
        <v>251</v>
      </c>
      <c r="C50" s="7" t="s">
        <v>3343</v>
      </c>
    </row>
    <row r="51" spans="1:4" x14ac:dyDescent="0.2">
      <c r="A51" s="6" t="s">
        <v>17</v>
      </c>
      <c r="B51" s="7" t="s">
        <v>251</v>
      </c>
      <c r="C51" s="7" t="s">
        <v>3339</v>
      </c>
    </row>
    <row r="52" spans="1:4" x14ac:dyDescent="0.2">
      <c r="A52" s="6" t="s">
        <v>22</v>
      </c>
      <c r="B52" s="7" t="s">
        <v>334</v>
      </c>
    </row>
    <row r="53" spans="1:4" x14ac:dyDescent="0.2">
      <c r="A53" s="6" t="s">
        <v>53</v>
      </c>
      <c r="B53" s="7" t="s">
        <v>334</v>
      </c>
    </row>
    <row r="54" spans="1:4" x14ac:dyDescent="0.2">
      <c r="A54" s="6" t="s">
        <v>43</v>
      </c>
      <c r="B54" s="7" t="s">
        <v>334</v>
      </c>
    </row>
    <row r="55" spans="1:4" x14ac:dyDescent="0.2">
      <c r="A55" s="6" t="s">
        <v>61</v>
      </c>
      <c r="B55" s="7" t="s">
        <v>334</v>
      </c>
    </row>
    <row r="56" spans="1:4" ht="38.25" x14ac:dyDescent="0.2">
      <c r="A56" s="6" t="s">
        <v>72</v>
      </c>
      <c r="B56" s="7" t="s">
        <v>251</v>
      </c>
      <c r="C56" s="7" t="s">
        <v>3342</v>
      </c>
      <c r="D56" s="7" t="s">
        <v>1949</v>
      </c>
    </row>
    <row r="57" spans="1:4" x14ac:dyDescent="0.2">
      <c r="A57" s="6" t="s">
        <v>16</v>
      </c>
      <c r="B57" s="7" t="s">
        <v>334</v>
      </c>
    </row>
    <row r="58" spans="1:4" ht="25.5" x14ac:dyDescent="0.2">
      <c r="A58" s="6" t="s">
        <v>32</v>
      </c>
      <c r="B58" s="7" t="s">
        <v>251</v>
      </c>
      <c r="C58" s="7" t="s">
        <v>380</v>
      </c>
      <c r="D58" s="7" t="s">
        <v>1948</v>
      </c>
    </row>
    <row r="59" spans="1:4" x14ac:dyDescent="0.2">
      <c r="A59" s="6" t="s">
        <v>60</v>
      </c>
      <c r="B59" s="7" t="s">
        <v>334</v>
      </c>
    </row>
    <row r="60" spans="1:4" ht="51" x14ac:dyDescent="0.2">
      <c r="A60" s="6" t="s">
        <v>39</v>
      </c>
      <c r="B60" s="7" t="s">
        <v>251</v>
      </c>
      <c r="C60" s="7" t="s">
        <v>3345</v>
      </c>
    </row>
    <row r="61" spans="1:4" x14ac:dyDescent="0.2">
      <c r="A61" s="6" t="s">
        <v>40</v>
      </c>
      <c r="B61" s="7" t="s">
        <v>334</v>
      </c>
    </row>
    <row r="62" spans="1:4" x14ac:dyDescent="0.2">
      <c r="A62" s="6" t="s">
        <v>44</v>
      </c>
      <c r="B62" s="7" t="s">
        <v>334</v>
      </c>
    </row>
    <row r="63" spans="1:4" x14ac:dyDescent="0.2">
      <c r="A63" s="6" t="s">
        <v>58</v>
      </c>
      <c r="B63" s="7" t="s">
        <v>334</v>
      </c>
    </row>
    <row r="64" spans="1:4" ht="38.25" x14ac:dyDescent="0.2">
      <c r="A64" s="6" t="s">
        <v>15</v>
      </c>
      <c r="B64" s="7" t="s">
        <v>251</v>
      </c>
      <c r="C64" s="7" t="s">
        <v>3338</v>
      </c>
    </row>
    <row r="65" spans="1:4" x14ac:dyDescent="0.2">
      <c r="A65" s="20" t="s">
        <v>3357</v>
      </c>
      <c r="B65" s="7">
        <f>COUNTA(B3:B64)</f>
        <v>62</v>
      </c>
      <c r="C65" s="7">
        <f>COUNTA(C3:C64)</f>
        <v>10</v>
      </c>
      <c r="D65" s="7">
        <f>COUNTA(D3:D64)</f>
        <v>3</v>
      </c>
    </row>
  </sheetData>
  <autoFilter ref="A2:D64" xr:uid="{D0C82C01-96DE-4033-8A6D-246B3AA0FAE3}"/>
  <sortState xmlns:xlrd2="http://schemas.microsoft.com/office/spreadsheetml/2017/richdata2" ref="A3:D64">
    <sortCondition ref="A3:A64"/>
  </sortState>
  <hyperlinks>
    <hyperlink ref="A1" location="Index!A1" display="Back to Index" xr:uid="{00000000-0004-0000-0C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Y167"/>
  <sheetViews>
    <sheetView zoomScaleNormal="100" workbookViewId="0">
      <pane ySplit="1" topLeftCell="A2" activePane="bottomLeft" state="frozen"/>
      <selection activeCell="C2" sqref="C2"/>
      <selection pane="bottomLeft" sqref="A1:B1"/>
    </sheetView>
  </sheetViews>
  <sheetFormatPr defaultRowHeight="24.95" customHeight="1" x14ac:dyDescent="0.25"/>
  <cols>
    <col min="1" max="1" width="9.140625" style="1"/>
    <col min="2" max="2" width="45.7109375" style="3" customWidth="1"/>
    <col min="3" max="3" width="9.140625" style="1"/>
    <col min="4" max="4" width="45.7109375" style="3" customWidth="1"/>
    <col min="5" max="5" width="9.140625" style="1"/>
    <col min="6" max="6" width="45.7109375" style="3" customWidth="1"/>
    <col min="7" max="7" width="9.140625" style="1"/>
    <col min="8" max="8" width="45.7109375" style="3" customWidth="1"/>
    <col min="9" max="9" width="9.140625" style="1"/>
    <col min="10" max="10" width="45.7109375" style="3" customWidth="1"/>
    <col min="11" max="11" width="9.140625" style="1"/>
    <col min="12" max="12" width="45.7109375" style="3" customWidth="1"/>
    <col min="13" max="13" width="9.140625" style="1"/>
    <col min="14" max="14" width="45.7109375" style="3" customWidth="1"/>
    <col min="15" max="15" width="9.140625" style="1"/>
    <col min="16" max="16" width="45.7109375" style="3" customWidth="1"/>
    <col min="17" max="17" width="9.140625" style="1"/>
    <col min="18" max="18" width="45.7109375" style="3" customWidth="1"/>
    <col min="19" max="19" width="9.140625" style="1"/>
    <col min="20" max="20" width="45.7109375" style="3" customWidth="1"/>
    <col min="21" max="21" width="9.140625" style="1"/>
    <col min="22" max="22" width="45.7109375" style="3" customWidth="1"/>
    <col min="23" max="23" width="9.140625" style="1"/>
    <col min="24" max="24" width="45.7109375" style="1" customWidth="1"/>
    <col min="25" max="16384" width="9.140625" style="1"/>
  </cols>
  <sheetData>
    <row r="1" spans="1:25" ht="24.95" customHeight="1" x14ac:dyDescent="0.25">
      <c r="A1" s="42" t="s">
        <v>2711</v>
      </c>
      <c r="B1" s="43"/>
      <c r="C1" s="40" t="s">
        <v>2712</v>
      </c>
      <c r="D1" s="41"/>
      <c r="E1" s="44" t="s">
        <v>0</v>
      </c>
      <c r="F1" s="43"/>
      <c r="G1" s="40" t="s">
        <v>9</v>
      </c>
      <c r="H1" s="41"/>
      <c r="I1" s="44" t="s">
        <v>1</v>
      </c>
      <c r="J1" s="43"/>
      <c r="K1" s="40" t="s">
        <v>2</v>
      </c>
      <c r="L1" s="41"/>
      <c r="M1" s="44" t="s">
        <v>4</v>
      </c>
      <c r="N1" s="43"/>
      <c r="O1" s="40" t="s">
        <v>3</v>
      </c>
      <c r="P1" s="41"/>
      <c r="Q1" s="44" t="s">
        <v>8</v>
      </c>
      <c r="R1" s="43"/>
      <c r="S1" s="40" t="s">
        <v>6</v>
      </c>
      <c r="T1" s="41"/>
      <c r="U1" s="44" t="s">
        <v>7</v>
      </c>
      <c r="V1" s="43"/>
      <c r="W1" s="40" t="s">
        <v>5</v>
      </c>
      <c r="X1" s="41"/>
    </row>
    <row r="2" spans="1:25" ht="24.95" customHeight="1" x14ac:dyDescent="0.25">
      <c r="A2" s="2" t="str">
        <f>HYPERLINK("#'Demographics'!B1","Q2.8")</f>
        <v>Q2.8</v>
      </c>
      <c r="B2" s="4" t="str">
        <f>HYPERLINK("#'Demographics'!B2","Province with the largest benefits-eligible headcount")</f>
        <v>Province with the largest benefits-eligible headcount</v>
      </c>
      <c r="C2" s="24" t="str">
        <f>HYPERLINK("#'Supp. Healthcare'!B1","Q3.2")</f>
        <v>Q3.2</v>
      </c>
      <c r="D2" s="4" t="str">
        <f>HYPERLINK("#'Supp. Healthcare'!B2","Offer some type of supplemental healthcare coverage")</f>
        <v>Offer some type of supplemental healthcare coverage</v>
      </c>
      <c r="E2" s="24" t="str">
        <f>HYPERLINK("#'Dental &amp; Vision'!B1","Q4.2")</f>
        <v>Q4.2</v>
      </c>
      <c r="F2" s="4" t="str">
        <f>HYPERLINK("#'Dental &amp; Vision'!B2","Offer some type of dental benefit")</f>
        <v>Offer some type of dental benefit</v>
      </c>
      <c r="G2" s="24" t="str">
        <f>HYPERLINK("#'Life, AD&amp;D, Critical Illness'!B1","Q5.2")</f>
        <v>Q5.2</v>
      </c>
      <c r="H2" s="4" t="str">
        <f>HYPERLINK("#'Life, AD&amp;D, Critical Illness'!B2","Provide a life insurance benefit")</f>
        <v>Provide a life insurance benefit</v>
      </c>
      <c r="I2" s="32" t="str">
        <f>HYPERLINK("#'Sickness &amp; Disability'!B1","Q6.2")</f>
        <v>Q6.2</v>
      </c>
      <c r="J2" s="36" t="str">
        <f>HYPERLINK("#'Sickness &amp; Disability'!B2","Company provides sick leave above statutory requirements")</f>
        <v>Company provides sick leave above statutory requirements</v>
      </c>
      <c r="K2" s="24" t="str">
        <f>HYPERLINK("#'Retirement'!B1","Q7.2")</f>
        <v>Q7.2</v>
      </c>
      <c r="L2" s="4" t="str">
        <f>HYPERLINK("#'Retirement'!B2","Provide a supplemental retirement or savings plan excluding any frozen plans that are no longer open to new joiners")</f>
        <v>Provide a supplemental retirement or savings plan excluding any frozen plans that are no longer open to new joiners</v>
      </c>
      <c r="M2" s="24" t="str">
        <f>HYPERLINK("#'Leaves'!B1","Q8.3")</f>
        <v>Q8.3</v>
      </c>
      <c r="N2" s="4" t="str">
        <f>HYPERLINK("#'Leaves'!B2","Supplementary leaves offered above statutory requirements (either in pay and/or duration)")</f>
        <v>Supplementary leaves offered above statutory requirements (either in pay and/or duration)</v>
      </c>
      <c r="O2" s="24" t="str">
        <f>HYPERLINK("#'Wellbeing'!B1","Q9.2")</f>
        <v>Q9.2</v>
      </c>
      <c r="P2" s="4" t="str">
        <f>HYPERLINK("#'Wellbeing'!B2","Have a formal wellbeing strategy and offering")</f>
        <v>Have a formal wellbeing strategy and offering</v>
      </c>
      <c r="Q2" s="24" t="str">
        <f>HYPERLINK("#'Transportation'!B1","Q10.2")</f>
        <v>Q10.2</v>
      </c>
      <c r="R2" s="4" t="str">
        <f>HYPERLINK("#'Transportation'!B2","Company offers transportation benefits")</f>
        <v>Company offers transportation benefits</v>
      </c>
      <c r="S2" s="24" t="str">
        <f>HYPERLINK("#'Perqs &amp; Allowances'!B1","Q11.2")</f>
        <v>Q11.2</v>
      </c>
      <c r="T2" s="4" t="str">
        <f>HYPERLINK("#'Perqs &amp; Allowances'!B2","Employer-paid perquisites and allowances offered")</f>
        <v>Employer-paid perquisites and allowances offered</v>
      </c>
      <c r="U2" s="24" t="str">
        <f>HYPERLINK("#'Flexible Benefits'!B1","Q12.2")</f>
        <v>Q12.2</v>
      </c>
      <c r="V2" s="4" t="str">
        <f>HYPERLINK("#'Flexible Benefits'!B2","Have a flexible/cafeteria benefits plan")</f>
        <v>Have a flexible/cafeteria benefits plan</v>
      </c>
      <c r="W2" s="24" t="str">
        <f>HYPERLINK("#'Voluntary Benefits'!B1","Q13.2")</f>
        <v>Q13.2</v>
      </c>
      <c r="X2" s="38" t="str">
        <f>HYPERLINK("#'Voluntary Benefits'!B2","Provide voluntary benefits separate from a flex plan")</f>
        <v>Provide voluntary benefits separate from a flex plan</v>
      </c>
      <c r="Y2" s="33"/>
    </row>
    <row r="3" spans="1:25" ht="24.95" customHeight="1" x14ac:dyDescent="0.25">
      <c r="A3" s="2" t="str">
        <f>HYPERLINK("#'Demographics'!C1","Q2.8_7_TEXT")</f>
        <v>Q2.8_7_TEXT</v>
      </c>
      <c r="B3" s="4" t="str">
        <f>HYPERLINK("#'Demographics'!C2","Other province with the largest benefits-eligible headcount")</f>
        <v>Other province with the largest benefits-eligible headcount</v>
      </c>
      <c r="C3" s="24" t="str">
        <f>HYPERLINK("#'Supp. Healthcare'!C1","Q3.3")</f>
        <v>Q3.3</v>
      </c>
      <c r="D3" s="4" t="str">
        <f>HYPERLINK("#'Supp. Healthcare'!C2","Who is covered under the supplemental healthcare plan")</f>
        <v>Who is covered under the supplemental healthcare plan</v>
      </c>
      <c r="E3" s="24" t="str">
        <f>HYPERLINK("#'Dental &amp; Vision'!C1","Q4.3")</f>
        <v>Q4.3</v>
      </c>
      <c r="F3" s="4" t="str">
        <f>HYPERLINK("#'Dental &amp; Vision'!C2","Who is eligible to receive dental benefits")</f>
        <v>Who is eligible to receive dental benefits</v>
      </c>
      <c r="G3" s="24" t="str">
        <f>HYPERLINK("#'Life, AD&amp;D, Critical Illness'!C1","Q5.3")</f>
        <v>Q5.3</v>
      </c>
      <c r="H3" s="4" t="str">
        <f>HYPERLINK("#'Life, AD&amp;D, Critical Illness'!C2","Who is covered under the company-provided basic life insurance benefit (excluding any optional employee-paid top-up options)")</f>
        <v>Who is covered under the company-provided basic life insurance benefit (excluding any optional employee-paid top-up options)</v>
      </c>
      <c r="I3" s="32" t="str">
        <f>HYPERLINK("#'Sickness &amp; Disability'!C1","Q6.3")</f>
        <v>Q6.3</v>
      </c>
      <c r="J3" s="36" t="str">
        <f>HYPERLINK("#'Sickness &amp; Disability'!C2","Have a waiting period for participation for new employees")</f>
        <v>Have a waiting period for participation for new employees</v>
      </c>
      <c r="K3" s="24" t="str">
        <f>HYPERLINK("#'Retirement'!C1","Q7.3")</f>
        <v>Q7.3</v>
      </c>
      <c r="L3" s="4" t="str">
        <f>HYPERLINK("#'Retirement'!C2","Have a waiting period for participation for new employees")</f>
        <v>Have a waiting period for participation for new employees</v>
      </c>
      <c r="M3" s="24" t="str">
        <f>HYPERLINK("#'Leaves'!C1","Q8.3_22_TEXT")</f>
        <v>Q8.3_22_TEXT</v>
      </c>
      <c r="N3" s="4" t="str">
        <f>HYPERLINK("#'Leaves'!C2","Other supplementary leaves offered above statutory requirements (either in pay and/or duration)")</f>
        <v>Other supplementary leaves offered above statutory requirements (either in pay and/or duration)</v>
      </c>
      <c r="O3" s="24" t="str">
        <f>HYPERLINK("#'Wellbeing'!C1","Q9.3")</f>
        <v>Q9.3</v>
      </c>
      <c r="P3" s="4" t="str">
        <f>HYPERLINK("#'Wellbeing'!C2","Have a defined wellbeing vision and strategic plan")</f>
        <v>Have a defined wellbeing vision and strategic plan</v>
      </c>
      <c r="Q3" s="24" t="str">
        <f>HYPERLINK("#'Transportation'!C1","Q10.3")</f>
        <v>Q10.3</v>
      </c>
      <c r="R3" s="4" t="str">
        <f>HYPERLINK("#'Transportation'!C2","Departments primarily responsible for the company's transportation policy design ")</f>
        <v xml:space="preserve">Departments primarily responsible for the company's transportation policy design </v>
      </c>
      <c r="S3" s="24" t="str">
        <f>HYPERLINK("#'Perqs &amp; Allowances'!C1","Q11.3_1_1")</f>
        <v>Q11.3_1_1</v>
      </c>
      <c r="T3" s="4" t="str">
        <f>HYPERLINK("#'Perqs &amp; Allowances'!C2","Annual maximum benefit amount provided for - Backup childcare")</f>
        <v>Annual maximum benefit amount provided for - Backup childcare</v>
      </c>
      <c r="U3" s="24" t="str">
        <f>HYPERLINK("#'Flexible Benefits'!C1","Q12.3")</f>
        <v>Q12.3</v>
      </c>
      <c r="V3" s="4" t="str">
        <f>HYPERLINK("#'Flexible Benefits'!C2","Benefit plans included in the flexible/cafeteria benefits plan")</f>
        <v>Benefit plans included in the flexible/cafeteria benefits plan</v>
      </c>
      <c r="W3" s="24" t="str">
        <f>HYPERLINK("#'Voluntary Benefits'!C1","Q13.3")</f>
        <v>Q13.3</v>
      </c>
      <c r="X3" s="38" t="str">
        <f>HYPERLINK("#'Voluntary Benefits'!C2","Types of voluntary benefits offered")</f>
        <v>Types of voluntary benefits offered</v>
      </c>
      <c r="Y3" s="33"/>
    </row>
    <row r="4" spans="1:25" ht="24.95" customHeight="1" thickBot="1" x14ac:dyDescent="0.3">
      <c r="A4" s="2" t="str">
        <f>HYPERLINK("#'Demographics'!D1","Q2.9")</f>
        <v>Q2.9</v>
      </c>
      <c r="B4" s="4" t="str">
        <f>HYPERLINK("#'Demographics'!D2","Average age of Canada benefits-eligible employees")</f>
        <v>Average age of Canada benefits-eligible employees</v>
      </c>
      <c r="C4" s="24" t="str">
        <f>HYPERLINK("#'Supp. Healthcare'!D1","Q3.4")</f>
        <v>Q3.4</v>
      </c>
      <c r="D4" s="4" t="str">
        <f>HYPERLINK("#'Supp. Healthcare'!D2","Dependents eligible to participate in the supplemental healthcare plan")</f>
        <v>Dependents eligible to participate in the supplemental healthcare plan</v>
      </c>
      <c r="E4" s="24" t="str">
        <f>HYPERLINK("#'Dental &amp; Vision'!D1","Q4.4")</f>
        <v>Q4.4</v>
      </c>
      <c r="F4" s="4" t="str">
        <f>HYPERLINK("#'Dental &amp; Vision'!D2","Dependents eligible to participate in the dental plan")</f>
        <v>Dependents eligible to participate in the dental plan</v>
      </c>
      <c r="G4" s="24" t="str">
        <f>HYPERLINK("#'Life, AD&amp;D, Critical Illness'!D1","Q5.4")</f>
        <v>Q5.4</v>
      </c>
      <c r="H4" s="4" t="str">
        <f>HYPERLINK("#'Life, AD&amp;D, Critical Illness'!D2","Dependents eligible to participate in the company-provided basic life insurance plan")</f>
        <v>Dependents eligible to participate in the company-provided basic life insurance plan</v>
      </c>
      <c r="I4" s="32" t="str">
        <f>HYPERLINK("#'Sickness &amp; Disability'!D1","Q6.4")</f>
        <v>Q6.4</v>
      </c>
      <c r="J4" s="36" t="str">
        <f>HYPERLINK("#'Sickness &amp; Disability'!D2","Waiting period (days) for all employees")</f>
        <v>Waiting period (days) for all employees</v>
      </c>
      <c r="K4" s="24" t="str">
        <f>HYPERLINK("#'Retirement'!D1","Q7.4")</f>
        <v>Q7.4</v>
      </c>
      <c r="L4" s="4" t="str">
        <f>HYPERLINK("#'Retirement'!D2","Waiting period (days) for all employees")</f>
        <v>Waiting period (days) for all employees</v>
      </c>
      <c r="M4" s="24" t="str">
        <f>HYPERLINK("#'Leaves'!D1","Q8.5")</f>
        <v>Q8.5</v>
      </c>
      <c r="N4" s="4" t="str">
        <f>HYPERLINK("#'Leaves'!D2","Have a waiting period for participation in annual leave/vacation time or PTO for new employees")</f>
        <v>Have a waiting period for participation in annual leave/vacation time or PTO for new employees</v>
      </c>
      <c r="O4" s="24" t="str">
        <f>HYPERLINK("#'Wellbeing'!D1","Q9.3_3_TEXT")</f>
        <v>Q9.3_3_TEXT</v>
      </c>
      <c r="P4" s="4" t="str">
        <f>HYPERLINK("#'Wellbeing'!D2","Other wellbeing vision and strategic plan")</f>
        <v>Other wellbeing vision and strategic plan</v>
      </c>
      <c r="Q4" s="24" t="str">
        <f>HYPERLINK("#'Transportation'!D1","Q10.3_8_TEXT")</f>
        <v>Q10.3_8_TEXT</v>
      </c>
      <c r="R4" s="4" t="str">
        <f>HYPERLINK("#'Transportation'!D2","Other departments primarily responsible for the transportation policy design")</f>
        <v>Other departments primarily responsible for the transportation policy design</v>
      </c>
      <c r="S4" s="24" t="str">
        <f>HYPERLINK("#'Perqs &amp; Allowances'!D1","Q11.3_2_1")</f>
        <v>Q11.3_2_1</v>
      </c>
      <c r="T4" s="4" t="str">
        <f>HYPERLINK("#'Perqs &amp; Allowances'!D2","Annual maximum benefit amount provided for - Backup elder/dependent care")</f>
        <v>Annual maximum benefit amount provided for - Backup elder/dependent care</v>
      </c>
      <c r="U4" s="24" t="str">
        <f>HYPERLINK("#'Flexible Benefits'!D1","Q12.4")</f>
        <v>Q12.4</v>
      </c>
      <c r="V4" s="4" t="str">
        <f>HYPERLINK("#'Flexible Benefits'!D2","Other benefits available in the flexible/cafeteria benefits plan")</f>
        <v>Other benefits available in the flexible/cafeteria benefits plan</v>
      </c>
      <c r="W4" s="39" t="str">
        <f>HYPERLINK("#'Voluntary Benefits'!D1","Q13.4")</f>
        <v>Q13.4</v>
      </c>
      <c r="X4" s="26" t="str">
        <f>HYPERLINK("#'Voluntary Benefits'!D2","Other types of voluntary benefits offered")</f>
        <v>Other types of voluntary benefits offered</v>
      </c>
      <c r="Y4" s="33"/>
    </row>
    <row r="5" spans="1:25" ht="24.95" customHeight="1" thickBot="1" x14ac:dyDescent="0.3">
      <c r="A5" s="2" t="str">
        <f>HYPERLINK("#'Demographics'!E1","Q2.10")</f>
        <v>Q2.10</v>
      </c>
      <c r="B5" s="4" t="str">
        <f>HYPERLINK("#'Demographics'!E2","Gender identities tracked")</f>
        <v>Gender identities tracked</v>
      </c>
      <c r="C5" s="24" t="str">
        <f>HYPERLINK("#'Supp. Healthcare'!E1","Q3.4_7_TEXT")</f>
        <v>Q3.4_7_TEXT</v>
      </c>
      <c r="D5" s="4" t="str">
        <f>HYPERLINK("#'Supp. Healthcare'!E2","Other dependents eligible to participate in the supplemental healthcare plan")</f>
        <v>Other dependents eligible to participate in the supplemental healthcare plan</v>
      </c>
      <c r="E5" s="24" t="str">
        <f>HYPERLINK("#'Dental &amp; Vision'!E1","Q4.4_7_TEXT")</f>
        <v>Q4.4_7_TEXT</v>
      </c>
      <c r="F5" s="4" t="str">
        <f>HYPERLINK("#'Dental &amp; Vision'!E2","Other dependents eligible to participate in the dental plan")</f>
        <v>Other dependents eligible to participate in the dental plan</v>
      </c>
      <c r="G5" s="24" t="str">
        <f>HYPERLINK("#'Life, AD&amp;D, Critical Illness'!E1","Q5.4_7_TEXT")</f>
        <v>Q5.4_7_TEXT</v>
      </c>
      <c r="H5" s="4" t="str">
        <f>HYPERLINK("#'Life, AD&amp;D, Critical Illness'!E2","Other dependents eligible to participate in the company-provided basic life insurance plan")</f>
        <v>Other dependents eligible to participate in the company-provided basic life insurance plan</v>
      </c>
      <c r="I5" s="32" t="str">
        <f>HYPERLINK("#'Sickness &amp; Disability'!E1","Q6.5")</f>
        <v>Q6.5</v>
      </c>
      <c r="J5" s="36" t="str">
        <f>HYPERLINK("#'Sickness &amp; Disability'!E2","Waiting period (days) for each employee group")</f>
        <v>Waiting period (days) for each employee group</v>
      </c>
      <c r="K5" s="24" t="str">
        <f>HYPERLINK("#'Retirement'!E1","Q7.5")</f>
        <v>Q7.5</v>
      </c>
      <c r="L5" s="4" t="str">
        <f>HYPERLINK("#'Retirement'!E2","Waiting period (days) for each employee group")</f>
        <v>Waiting period (days) for each employee group</v>
      </c>
      <c r="M5" s="24" t="str">
        <f>HYPERLINK("#'Leaves'!E1","Q8.6")</f>
        <v>Q8.6</v>
      </c>
      <c r="N5" s="4" t="str">
        <f>HYPERLINK("#'Leaves'!E2","Waiting period (days) for all employees")</f>
        <v>Waiting period (days) for all employees</v>
      </c>
      <c r="O5" s="24" t="str">
        <f>HYPERLINK("#'Wellbeing'!E1","Q9.4")</f>
        <v>Q9.4</v>
      </c>
      <c r="P5" s="4" t="str">
        <f>HYPERLINK("#'Wellbeing'!E2","How aligned the wellness program and the business strategy are")</f>
        <v>How aligned the wellness program and the business strategy are</v>
      </c>
      <c r="Q5" s="24" t="str">
        <f>HYPERLINK("#'Transportation'!E1","Q10.4")</f>
        <v>Q10.4</v>
      </c>
      <c r="R5" s="4" t="str">
        <f>HYPERLINK("#'Transportation'!E2","How frequently the transportation policy is reviewed")</f>
        <v>How frequently the transportation policy is reviewed</v>
      </c>
      <c r="S5" s="24" t="str">
        <f>HYPERLINK("#'Perqs &amp; Allowances'!E1","Q11.3_3_1")</f>
        <v>Q11.3_3_1</v>
      </c>
      <c r="T5" s="4" t="str">
        <f>HYPERLINK("#'Perqs &amp; Allowances'!E2","Annual maximum benefit amount provided for - Childcare")</f>
        <v>Annual maximum benefit amount provided for - Childcare</v>
      </c>
      <c r="U5" s="29" t="str">
        <f>HYPERLINK("#'Flexible Benefits'!E1","Q12.5")</f>
        <v>Q12.5</v>
      </c>
      <c r="V5" s="26" t="str">
        <f>HYPERLINK("#'Flexible Benefits'!E2","Annual flex dollar amount provided to employees in CAD")</f>
        <v>Annual flex dollar amount provided to employees in CAD</v>
      </c>
      <c r="W5" s="35"/>
      <c r="X5" s="27"/>
    </row>
    <row r="6" spans="1:25" ht="33.75" x14ac:dyDescent="0.25">
      <c r="A6" s="2" t="str">
        <f>HYPERLINK("#'Demographics'!F1","Q2.11_1_6")</f>
        <v>Q2.11_1_6</v>
      </c>
      <c r="B6" s="4" t="str">
        <f>HYPERLINK("#'Demographics'!F2","Percentage of benefits-eligible workforce: Male")</f>
        <v>Percentage of benefits-eligible workforce: Male</v>
      </c>
      <c r="C6" s="24" t="str">
        <f>HYPERLINK("#'Supp. Healthcare'!F1","Q3.5")</f>
        <v>Q3.5</v>
      </c>
      <c r="D6" s="4" t="str">
        <f>HYPERLINK("#'Supp. Healthcare'!F2","Maximum eligibility age for children who are not full-time students")</f>
        <v>Maximum eligibility age for children who are not full-time students</v>
      </c>
      <c r="E6" s="24" t="str">
        <f>HYPERLINK("#'Dental &amp; Vision'!F1","Q4.5")</f>
        <v>Q4.5</v>
      </c>
      <c r="F6" s="4" t="str">
        <f>HYPERLINK("#'Dental &amp; Vision'!F2","Have a waiting period for participation in the dental plan for new employees")</f>
        <v>Have a waiting period for participation in the dental plan for new employees</v>
      </c>
      <c r="G6" s="24" t="str">
        <f>HYPERLINK("#'Life, AD&amp;D, Critical Illness'!F1","Q5.5")</f>
        <v>Q5.5</v>
      </c>
      <c r="H6" s="4" t="str">
        <f>HYPERLINK("#'Life, AD&amp;D, Critical Illness'!F2","Have a waiting period for participation in the life insurance plan for new employees")</f>
        <v>Have a waiting period for participation in the life insurance plan for new employees</v>
      </c>
      <c r="I6" s="32" t="str">
        <f>HYPERLINK("#'Sickness &amp; Disability'!F1","Q6.6")</f>
        <v>Q6.6</v>
      </c>
      <c r="J6" s="36" t="str">
        <f>HYPERLINK("#'Sickness &amp; Disability'!F2","Type of supplemental sick leave policy")</f>
        <v>Type of supplemental sick leave policy</v>
      </c>
      <c r="K6" s="24" t="str">
        <f>HYPERLINK("#'Retirement'!F1","Q7.6")</f>
        <v>Q7.6</v>
      </c>
      <c r="L6" s="4" t="str">
        <f>HYPERLINK("#'Retirement'!F2","Types of supplemental retirement and/or savings plans provided")</f>
        <v>Types of supplemental retirement and/or savings plans provided</v>
      </c>
      <c r="M6" s="24" t="str">
        <f>HYPERLINK("#'Leaves'!F1","Q8.7")</f>
        <v>Q8.7</v>
      </c>
      <c r="N6" s="4" t="str">
        <f>HYPERLINK("#'Leaves'!F2","Waiting period (days) for each employee group")</f>
        <v>Waiting period (days) for each employee group</v>
      </c>
      <c r="O6" s="24" t="str">
        <f>HYPERLINK("#'Wellbeing'!F1","Q9.5")</f>
        <v>Q9.5</v>
      </c>
      <c r="P6" s="4" t="str">
        <f>HYPERLINK("#'Wellbeing'!F2","How the company's health and wellbeing values are communicated")</f>
        <v>How the company's health and wellbeing values are communicated</v>
      </c>
      <c r="Q6" s="24" t="str">
        <f>HYPERLINK("#'Transportation'!F1","Q10.5_1")</f>
        <v>Q10.5_1</v>
      </c>
      <c r="R6" s="4" t="str">
        <f>HYPERLINK("#'Transportation'!F2","Steps taken towards promoting/ implementing a greener transportation program - Actively promoted other transportation (e.g., car pools, bicycles, etc.)")</f>
        <v>Steps taken towards promoting/ implementing a greener transportation program - Actively promoted other transportation (e.g., car pools, bicycles, etc.)</v>
      </c>
      <c r="S6" s="24" t="str">
        <f>HYPERLINK("#'Perqs &amp; Allowances'!F1","Q11.3_4_1")</f>
        <v>Q11.3_4_1</v>
      </c>
      <c r="T6" s="4" t="str">
        <f>HYPERLINK("#'Perqs &amp; Allowances'!F2","Annual maximum benefit amount provided for - Clothing")</f>
        <v>Annual maximum benefit amount provided for - Clothing</v>
      </c>
      <c r="U6" s="35"/>
      <c r="V6" s="30"/>
    </row>
    <row r="7" spans="1:25" ht="33.75" x14ac:dyDescent="0.25">
      <c r="A7" s="2" t="str">
        <f>HYPERLINK("#'Demographics'!G1","Q2.11_2_6")</f>
        <v>Q2.11_2_6</v>
      </c>
      <c r="B7" s="4" t="str">
        <f>HYPERLINK("#'Demographics'!G2","Percentage of benefits-eligible workforce: Female")</f>
        <v>Percentage of benefits-eligible workforce: Female</v>
      </c>
      <c r="C7" s="24" t="str">
        <f>HYPERLINK("#'Supp. Healthcare'!G1","Q3.5_8_TEXT")</f>
        <v>Q3.5_8_TEXT</v>
      </c>
      <c r="D7" s="4" t="str">
        <f>HYPERLINK("#'Supp. Healthcare'!G2","Other maximum eligibility age for children who are not full-time students")</f>
        <v>Other maximum eligibility age for children who are not full-time students</v>
      </c>
      <c r="E7" s="24" t="str">
        <f>HYPERLINK("#'Dental &amp; Vision'!G1","Q4.6")</f>
        <v>Q4.6</v>
      </c>
      <c r="F7" s="4" t="str">
        <f>HYPERLINK("#'Dental &amp; Vision'!G2","Waiting period (days) for all employees")</f>
        <v>Waiting period (days) for all employees</v>
      </c>
      <c r="G7" s="24" t="str">
        <f>HYPERLINK("#'Life, AD&amp;D, Critical Illness'!G1","Q5.6")</f>
        <v>Q5.6</v>
      </c>
      <c r="H7" s="4" t="str">
        <f>HYPERLINK("#'Life, AD&amp;D, Critical Illness'!G2","Waiting period (days) for all employees")</f>
        <v>Waiting period (days) for all employees</v>
      </c>
      <c r="I7" s="32" t="str">
        <f>HYPERLINK("#'Sickness &amp; Disability'!G1","Q6.7")</f>
        <v>Q6.7</v>
      </c>
      <c r="J7" s="36" t="str">
        <f>HYPERLINK("#'Sickness &amp; Disability'!G2","Number of days of supplemental sick leave per year an employee is entitled to - Paid")</f>
        <v>Number of days of supplemental sick leave per year an employee is entitled to - Paid</v>
      </c>
      <c r="K7" s="24" t="str">
        <f>HYPERLINK("#'Retirement'!G1","Q7.8")</f>
        <v>Q7.8</v>
      </c>
      <c r="L7" s="4" t="str">
        <f>HYPERLINK("#'Retirement'!G2","DC Plan - Types of compensation used in calculating contributions")</f>
        <v>DC Plan - Types of compensation used in calculating contributions</v>
      </c>
      <c r="M7" s="24" t="str">
        <f>HYPERLINK("#'Leaves'!G1","Q8.8")</f>
        <v>Q8.8</v>
      </c>
      <c r="N7" s="4" t="str">
        <f>HYPERLINK("#'Leaves'!G2","How vacation entitlement is determined")</f>
        <v>How vacation entitlement is determined</v>
      </c>
      <c r="O7" s="24" t="str">
        <f>HYPERLINK("#'Wellbeing'!G1","Q9.5_7_TEXT")</f>
        <v>Q9.5_7_TEXT</v>
      </c>
      <c r="P7" s="4" t="str">
        <f>HYPERLINK("#'Wellbeing'!G2","Other ways the company's health and wellbeing values are communicated")</f>
        <v>Other ways the company's health and wellbeing values are communicated</v>
      </c>
      <c r="Q7" s="24" t="str">
        <f>HYPERLINK("#'Transportation'!G1","Q10.5_2")</f>
        <v>Q10.5_2</v>
      </c>
      <c r="R7" s="4" t="str">
        <f>HYPERLINK("#'Transportation'!G2","Steps taken towards promoting/ implementing a greener transportation program - Added hybrid/electric vehicles to car fleet")</f>
        <v>Steps taken towards promoting/ implementing a greener transportation program - Added hybrid/electric vehicles to car fleet</v>
      </c>
      <c r="S7" s="24" t="str">
        <f>HYPERLINK("#'Perqs &amp; Allowances'!G1","Q11.3_5_1")</f>
        <v>Q11.3_5_1</v>
      </c>
      <c r="T7" s="4" t="str">
        <f>HYPERLINK("#'Perqs &amp; Allowances'!G2","Annual maximum benefit amount provided for - Commuter benefits")</f>
        <v>Annual maximum benefit amount provided for - Commuter benefits</v>
      </c>
      <c r="U7" s="33"/>
    </row>
    <row r="8" spans="1:25" ht="33.75" x14ac:dyDescent="0.25">
      <c r="A8" s="2" t="str">
        <f>HYPERLINK("#'Demographics'!H1","Q2.11_3_6")</f>
        <v>Q2.11_3_6</v>
      </c>
      <c r="B8" s="4" t="str">
        <f>HYPERLINK("#'Demographics'!H2","Percentage of benefits-eligible workforce: Nonbinary")</f>
        <v>Percentage of benefits-eligible workforce: Nonbinary</v>
      </c>
      <c r="C8" s="24" t="str">
        <f>HYPERLINK("#'Supp. Healthcare'!H1","Q3.6")</f>
        <v>Q3.6</v>
      </c>
      <c r="D8" s="4" t="str">
        <f>HYPERLINK("#'Supp. Healthcare'!H2","Maximum eligibility age for children who are full-time students")</f>
        <v>Maximum eligibility age for children who are full-time students</v>
      </c>
      <c r="E8" s="24" t="str">
        <f>HYPERLINK("#'Dental &amp; Vision'!H1","Q4.7")</f>
        <v>Q4.7</v>
      </c>
      <c r="F8" s="4" t="str">
        <f>HYPERLINK("#'Dental &amp; Vision'!H2","Waiting period (days) for each employee group")</f>
        <v>Waiting period (days) for each employee group</v>
      </c>
      <c r="G8" s="24" t="str">
        <f>HYPERLINK("#'Life, AD&amp;D, Critical Illness'!H1","Q5.7")</f>
        <v>Q5.7</v>
      </c>
      <c r="H8" s="4" t="str">
        <f>HYPERLINK("#'Life, AD&amp;D, Critical Illness'!H2","Waiting period (days) for each employee group")</f>
        <v>Waiting period (days) for each employee group</v>
      </c>
      <c r="I8" s="32" t="str">
        <f>HYPERLINK("#'Sickness &amp; Disability'!H1","Q6.8")</f>
        <v>Q6.8</v>
      </c>
      <c r="J8" s="36" t="str">
        <f>HYPERLINK("#'Sickness &amp; Disability'!H2","Number of days of supplemental sick leave per year an employee is entitled to - Unpaid")</f>
        <v>Number of days of supplemental sick leave per year an employee is entitled to - Unpaid</v>
      </c>
      <c r="K8" s="24" t="str">
        <f>HYPERLINK("#'Retirement'!H1","Q7.8_8_TEXT")</f>
        <v>Q7.8_8_TEXT</v>
      </c>
      <c r="L8" s="4" t="str">
        <f>HYPERLINK("#'Retirement'!H2","DC Plan - Other types of compensation used in calculating contributions")</f>
        <v>DC Plan - Other types of compensation used in calculating contributions</v>
      </c>
      <c r="M8" s="24" t="str">
        <f>HYPERLINK("#'Leaves'!H1","Q8.8_7_TEXT")</f>
        <v>Q8.8_7_TEXT</v>
      </c>
      <c r="N8" s="4" t="str">
        <f>HYPERLINK("#'Leaves'!H2","Other ways vacation entitlement is determined")</f>
        <v>Other ways vacation entitlement is determined</v>
      </c>
      <c r="O8" s="24" t="str">
        <f>HYPERLINK("#'Wellbeing'!H1","Q9.6")</f>
        <v>Q9.6</v>
      </c>
      <c r="P8" s="4" t="str">
        <f>HYPERLINK("#'Wellbeing'!H2","How the wellbeing program is communicated")</f>
        <v>How the wellbeing program is communicated</v>
      </c>
      <c r="Q8" s="24" t="str">
        <f>HYPERLINK("#'Transportation'!H1","Q10.5_3")</f>
        <v>Q10.5_3</v>
      </c>
      <c r="R8" s="4" t="str">
        <f>HYPERLINK("#'Transportation'!H2","Steps taken towards promoting/ implementing a greener transportation program -  Limited vehicle options to those with lower CO2 emissions")</f>
        <v>Steps taken towards promoting/ implementing a greener transportation program -  Limited vehicle options to those with lower CO2 emissions</v>
      </c>
      <c r="S8" s="24" t="str">
        <f>HYPERLINK("#'Perqs &amp; Allowances'!H1","Q11.3_6_1")</f>
        <v>Q11.3_6_1</v>
      </c>
      <c r="T8" s="4" t="str">
        <f>HYPERLINK("#'Perqs &amp; Allowances'!H2","Annual maximum benefit amount provided for - Funeral ceremony expense assistance")</f>
        <v>Annual maximum benefit amount provided for - Funeral ceremony expense assistance</v>
      </c>
      <c r="U8" s="33"/>
    </row>
    <row r="9" spans="1:25" ht="33.75" x14ac:dyDescent="0.25">
      <c r="A9" s="2" t="str">
        <f>HYPERLINK("#'Demographics'!I1","Q2.11_4_6")</f>
        <v>Q2.11_4_6</v>
      </c>
      <c r="B9" s="4" t="str">
        <f>HYPERLINK("#'Demographics'!I2","Percentage of benefits-eligible workforce: Did not disclose")</f>
        <v>Percentage of benefits-eligible workforce: Did not disclose</v>
      </c>
      <c r="C9" s="24" t="str">
        <f>HYPERLINK("#'Supp. Healthcare'!I1","Q3.6_8_TEXT")</f>
        <v>Q3.6_8_TEXT</v>
      </c>
      <c r="D9" s="4" t="str">
        <f>HYPERLINK("#'Supp. Healthcare'!I2","Other maximum eligibility age for children who are full-time students")</f>
        <v>Other maximum eligibility age for children who are full-time students</v>
      </c>
      <c r="E9" s="24" t="str">
        <f>HYPERLINK("#'Dental &amp; Vision'!I1","Q4.8")</f>
        <v>Q4.8</v>
      </c>
      <c r="F9" s="4" t="str">
        <f>HYPERLINK("#'Dental &amp; Vision'!I2","Dental benefit has different levels or plan designs")</f>
        <v>Dental benefit has different levels or plan designs</v>
      </c>
      <c r="G9" s="24" t="str">
        <f>HYPERLINK("#'Life, AD&amp;D, Critical Illness'!I1","Q5.8")</f>
        <v>Q5.8</v>
      </c>
      <c r="H9" s="4" t="str">
        <f>HYPERLINK("#'Life, AD&amp;D, Critical Illness'!I2","Benefit formula used for the company-provided basic life insurance benefit")</f>
        <v>Benefit formula used for the company-provided basic life insurance benefit</v>
      </c>
      <c r="I9" s="32" t="str">
        <f>HYPERLINK("#'Sickness &amp; Disability'!I1","Q6.9")</f>
        <v>Q6.9</v>
      </c>
      <c r="J9" s="36" t="str">
        <f>HYPERLINK("#'Sickness &amp; Disability'!I2","Supplemental sick leave policy requires proof (e.g., doctor's note)")</f>
        <v>Supplemental sick leave policy requires proof (e.g., doctor's note)</v>
      </c>
      <c r="K9" s="24" t="str">
        <f>HYPERLINK("#'Retirement'!I1","Q7.9")</f>
        <v>Q7.9</v>
      </c>
      <c r="L9" s="4" t="str">
        <f>HYPERLINK("#'Retirement'!I2","DC Plan - Employee participation level")</f>
        <v>DC Plan - Employee participation level</v>
      </c>
      <c r="M9" s="24" t="str">
        <f>HYPERLINK("#'Leaves'!I1","Q8.9")</f>
        <v>Q8.9</v>
      </c>
      <c r="N9" s="4" t="str">
        <f>HYPERLINK("#'Leaves'!I2","Total amount of vacation/PTO time granted (including statutory requirements)")</f>
        <v>Total amount of vacation/PTO time granted (including statutory requirements)</v>
      </c>
      <c r="O9" s="24" t="str">
        <f>HYPERLINK("#'Wellbeing'!I1","Q9.6_10_TEXT")</f>
        <v>Q9.6_10_TEXT</v>
      </c>
      <c r="P9" s="4" t="str">
        <f>HYPERLINK("#'Wellbeing'!I2","Other ways the wellbeing program is communicated")</f>
        <v>Other ways the wellbeing program is communicated</v>
      </c>
      <c r="Q9" s="24" t="str">
        <f>HYPERLINK("#'Transportation'!I1","Q10.5_4")</f>
        <v>Q10.5_4</v>
      </c>
      <c r="R9" s="4" t="str">
        <f>HYPERLINK("#'Transportation'!I2","Steps taken towards promoting/ implementing a greener transportation program - Limited/reduced the number of company cars")</f>
        <v>Steps taken towards promoting/ implementing a greener transportation program - Limited/reduced the number of company cars</v>
      </c>
      <c r="S9" s="24" t="str">
        <f>HYPERLINK("#'Perqs &amp; Allowances'!I1","Q11.3_7_1")</f>
        <v>Q11.3_7_1</v>
      </c>
      <c r="T9" s="4" t="str">
        <f>HYPERLINK("#'Perqs &amp; Allowances'!I2","Annual maximum benefit amount provided for - Gifts for special events")</f>
        <v>Annual maximum benefit amount provided for - Gifts for special events</v>
      </c>
      <c r="U9" s="33"/>
    </row>
    <row r="10" spans="1:25" ht="33.75" x14ac:dyDescent="0.25">
      <c r="A10" s="2" t="str">
        <f>HYPERLINK("#'Demographics'!J1","Q2.12_1")</f>
        <v>Q2.12_1</v>
      </c>
      <c r="B10" s="4" t="str">
        <f>HYPERLINK("#'Demographics'!J2","Percentage of employee population: Full-time remote")</f>
        <v>Percentage of employee population: Full-time remote</v>
      </c>
      <c r="C10" s="24" t="str">
        <f>HYPERLINK("#'Supp. Healthcare'!J1","Q3.7")</f>
        <v>Q3.7</v>
      </c>
      <c r="D10" s="4" t="str">
        <f>HYPERLINK("#'Supp. Healthcare'!J2","Have a waiting period for participation in the supplemental healthcare plan for new employees")</f>
        <v>Have a waiting period for participation in the supplemental healthcare plan for new employees</v>
      </c>
      <c r="E10" s="24" t="str">
        <f>HYPERLINK("#'Dental &amp; Vision'!J1","Q4.9")</f>
        <v>Q4.9</v>
      </c>
      <c r="F10" s="4" t="str">
        <f>HYPERLINK("#'Dental &amp; Vision'!J2","Dental benefit different levels or plan designs")</f>
        <v>Dental benefit different levels or plan designs</v>
      </c>
      <c r="G10" s="24" t="str">
        <f>HYPERLINK("#'Life, AD&amp;D, Critical Illness'!J1","Q5.9")</f>
        <v>Q5.9</v>
      </c>
      <c r="H10" s="4" t="str">
        <f>HYPERLINK("#'Life, AD&amp;D, Critical Illness'!J2","Flat amount of the company-provided basic life insurance benefit provided in CAD")</f>
        <v>Flat amount of the company-provided basic life insurance benefit provided in CAD</v>
      </c>
      <c r="I10" s="32" t="str">
        <f>HYPERLINK("#'Sickness &amp; Disability'!J1","Q6.10")</f>
        <v>Q6.10</v>
      </c>
      <c r="J10" s="36" t="str">
        <f>HYPERLINK("#'Sickness &amp; Disability'!J2","Supplemental sick leave can be carried forward to the next year")</f>
        <v>Supplemental sick leave can be carried forward to the next year</v>
      </c>
      <c r="K10" s="24" t="str">
        <f>HYPERLINK("#'Retirement'!J1","Q7.10")</f>
        <v>Q7.10</v>
      </c>
      <c r="L10" s="4" t="str">
        <f>HYPERLINK("#'Retirement'!J2","DC Plan - Mandatory minimum employee contribution, in percentage of salary")</f>
        <v>DC Plan - Mandatory minimum employee contribution, in percentage of salary</v>
      </c>
      <c r="M10" s="24" t="str">
        <f>HYPERLINK("#'Leaves'!J1","Q8.9_9_TEXT")</f>
        <v>Q8.9_9_TEXT</v>
      </c>
      <c r="N10" s="4" t="str">
        <f>HYPERLINK("#'Leaves'!J2","Other total amount of vacation/PTO time granted (including statutory requirements)")</f>
        <v>Other total amount of vacation/PTO time granted (including statutory requirements)</v>
      </c>
      <c r="O10" s="24" t="str">
        <f>HYPERLINK("#'Wellbeing'!J1","Q9.7")</f>
        <v>Q9.7</v>
      </c>
      <c r="P10" s="4" t="str">
        <f>HYPERLINK("#'Wellbeing'!J2","Data used for strategic wellbeing planning and program design")</f>
        <v>Data used for strategic wellbeing planning and program design</v>
      </c>
      <c r="Q10" s="24" t="str">
        <f>HYPERLINK("#'Transportation'!J1","Q10.5_5")</f>
        <v>Q10.5_5</v>
      </c>
      <c r="R10" s="4" t="str">
        <f>HYPERLINK("#'Transportation'!J2","Steps taken towards promoting/ implementing a greener transportation program - Promoted the use of public transport by offering subsidies or allowances")</f>
        <v>Steps taken towards promoting/ implementing a greener transportation program - Promoted the use of public transport by offering subsidies or allowances</v>
      </c>
      <c r="S10" s="24" t="str">
        <f>HYPERLINK("#'Perqs &amp; Allowances'!J1","Q11.3_8_1")</f>
        <v>Q11.3_8_1</v>
      </c>
      <c r="T10" s="4" t="str">
        <f>HYPERLINK("#'Perqs &amp; Allowances'!J2","Annual maximum benefit amount provided for - Home office benefits  ")</f>
        <v xml:space="preserve">Annual maximum benefit amount provided for - Home office benefits  </v>
      </c>
      <c r="U10" s="33"/>
    </row>
    <row r="11" spans="1:25" ht="24.95" customHeight="1" x14ac:dyDescent="0.25">
      <c r="A11" s="2" t="str">
        <f>HYPERLINK("#'Demographics'!K1","Q2.12_2")</f>
        <v>Q2.12_2</v>
      </c>
      <c r="B11" s="4" t="str">
        <f>HYPERLINK("#'Demographics'!K2","Percentage of employee population: Hybrid")</f>
        <v>Percentage of employee population: Hybrid</v>
      </c>
      <c r="C11" s="24" t="str">
        <f>HYPERLINK("#'Supp. Healthcare'!K1","Q3.8")</f>
        <v>Q3.8</v>
      </c>
      <c r="D11" s="4" t="str">
        <f>HYPERLINK("#'Supp. Healthcare'!K2","Waiting period (days) for all employees")</f>
        <v>Waiting period (days) for all employees</v>
      </c>
      <c r="E11" s="24" t="str">
        <f>HYPERLINK("#'Dental &amp; Vision'!K1","Q4.11")</f>
        <v>Q4.11</v>
      </c>
      <c r="F11" s="4" t="str">
        <f>HYPERLINK("#'Dental &amp; Vision'!K2","Types of coverage included in the dental benefit plan")</f>
        <v>Types of coverage included in the dental benefit plan</v>
      </c>
      <c r="G11" s="24" t="str">
        <f>HYPERLINK("#'Life, AD&amp;D, Critical Illness'!K1","Q5.10")</f>
        <v>Q5.10</v>
      </c>
      <c r="H11" s="4" t="str">
        <f>HYPERLINK("#'Life, AD&amp;D, Critical Illness'!K2","Types of compensation eligible under the company-provided basic life insurance benefit")</f>
        <v>Types of compensation eligible under the company-provided basic life insurance benefit</v>
      </c>
      <c r="I11" s="32" t="str">
        <f>HYPERLINK("#'Sickness &amp; Disability'!K1","Q6.11")</f>
        <v>Q6.11</v>
      </c>
      <c r="J11" s="36" t="str">
        <f>HYPERLINK("#'Sickness &amp; Disability'!K2","Have a maximum number of days that can be carried forward")</f>
        <v>Have a maximum number of days that can be carried forward</v>
      </c>
      <c r="K11" s="24" t="str">
        <f>HYPERLINK("#'Retirement'!K1","Q7.11")</f>
        <v>Q7.11</v>
      </c>
      <c r="L11" s="4" t="str">
        <f>HYPERLINK("#'Retirement'!K2","DC Plan - Employees are allowed to make additional contributions above the minimum requirements")</f>
        <v>DC Plan - Employees are allowed to make additional contributions above the minimum requirements</v>
      </c>
      <c r="M11" s="24" t="str">
        <f>HYPERLINK("#'Leaves'!K1","Q8.10")</f>
        <v>Q8.10</v>
      </c>
      <c r="N11" s="4" t="str">
        <f>HYPERLINK("#'Leaves'!K2","Vacation/PTO time entitlement policy")</f>
        <v>Vacation/PTO time entitlement policy</v>
      </c>
      <c r="O11" s="24" t="str">
        <f>HYPERLINK("#'Wellbeing'!K1","Q9.7_12_TEXT")</f>
        <v>Q9.7_12_TEXT</v>
      </c>
      <c r="P11" s="4" t="str">
        <f>HYPERLINK("#'Wellbeing'!K2","Other data used for strategic wellbeing planning and program design")</f>
        <v>Other data used for strategic wellbeing planning and program design</v>
      </c>
      <c r="Q11" s="24" t="str">
        <f>HYPERLINK("#'Transportation'!K1","Q10.6")</f>
        <v>Q10.6</v>
      </c>
      <c r="R11" s="4" t="str">
        <f>HYPERLINK("#'Transportation'!K2","Offer free charging stations at Canadian offices for electric vehicles")</f>
        <v>Offer free charging stations at Canadian offices for electric vehicles</v>
      </c>
      <c r="S11" s="24" t="str">
        <f>HYPERLINK("#'Perqs &amp; Allowances'!K1","Q11.3_9_1")</f>
        <v>Q11.3_9_1</v>
      </c>
      <c r="T11" s="4" t="str">
        <f>HYPERLINK("#'Perqs &amp; Allowances'!K2","Annual maximum benefit amount provided for - Housing or accommodation allowance  ")</f>
        <v xml:space="preserve">Annual maximum benefit amount provided for - Housing or accommodation allowance  </v>
      </c>
      <c r="U11" s="33"/>
    </row>
    <row r="12" spans="1:25" ht="24.95" customHeight="1" x14ac:dyDescent="0.25">
      <c r="A12" s="2" t="str">
        <f>HYPERLINK("#'Demographics'!L1","Q2.12_3")</f>
        <v>Q2.12_3</v>
      </c>
      <c r="B12" s="4" t="str">
        <f>HYPERLINK("#'Demographics'!L2","Percentage of employee population: Full-time onsite")</f>
        <v>Percentage of employee population: Full-time onsite</v>
      </c>
      <c r="C12" s="24" t="str">
        <f>HYPERLINK("#'Supp. Healthcare'!L1","Q3.9")</f>
        <v>Q3.9</v>
      </c>
      <c r="D12" s="4" t="str">
        <f>HYPERLINK("#'Supp. Healthcare'!L2","Waiting period (days) for each employee group")</f>
        <v>Waiting period (days) for each employee group</v>
      </c>
      <c r="E12" s="24" t="str">
        <f>HYPERLINK("#'Dental &amp; Vision'!L1","Q4.11_12_TEXT")</f>
        <v>Q4.11_12_TEXT</v>
      </c>
      <c r="F12" s="11" t="str">
        <f>HYPERLINK("#'Dental &amp; Vision'!L2","Other types of coverage included in the dental benefit plan")</f>
        <v>Other types of coverage included in the dental benefit plan</v>
      </c>
      <c r="G12" s="24" t="str">
        <f>HYPERLINK("#'Life, AD&amp;D, Critical Illness'!L1","Q5.10_9_TEXT")</f>
        <v>Q5.10_9_TEXT</v>
      </c>
      <c r="H12" s="4" t="str">
        <f>HYPERLINK("#'Life, AD&amp;D, Critical Illness'!L2","Other types of compensation eligible under the company-provided basic life insurance benefit")</f>
        <v>Other types of compensation eligible under the company-provided basic life insurance benefit</v>
      </c>
      <c r="I12" s="32" t="str">
        <f>HYPERLINK("#'Sickness &amp; Disability'!L1","Q6.12")</f>
        <v>Q6.12</v>
      </c>
      <c r="J12" s="36" t="str">
        <f>HYPERLINK("#'Sickness &amp; Disability'!L2","Maximum number of days that can be carried forward")</f>
        <v>Maximum number of days that can be carried forward</v>
      </c>
      <c r="K12" s="24" t="str">
        <f>HYPERLINK("#'Retirement'!L1","Q7.12")</f>
        <v>Q7.12</v>
      </c>
      <c r="L12" s="4" t="str">
        <f>HYPERLINK("#'Retirement'!L2","DC Plan - Employee contributions are capped")</f>
        <v>DC Plan - Employee contributions are capped</v>
      </c>
      <c r="M12" s="24" t="str">
        <f>HYPERLINK("#'Leaves'!L1","Q8.11")</f>
        <v>Q8.11</v>
      </c>
      <c r="N12" s="4" t="str">
        <f>HYPERLINK("#'Leaves'!L2","Have a maximum amount of vacation/PTO time an employee may have")</f>
        <v>Have a maximum amount of vacation/PTO time an employee may have</v>
      </c>
      <c r="O12" s="24" t="str">
        <f>HYPERLINK("#'Wellbeing'!L1","Q9.8")</f>
        <v>Q9.8</v>
      </c>
      <c r="P12" s="4" t="str">
        <f>HYPERLINK("#'Wellbeing'!L2","Areas considered when designing wellbeing programs")</f>
        <v>Areas considered when designing wellbeing programs</v>
      </c>
      <c r="Q12" s="24" t="str">
        <f>HYPERLINK("#'Transportation'!L1","Q10.7")</f>
        <v>Q10.7</v>
      </c>
      <c r="R12" s="4" t="str">
        <f>HYPERLINK("#'Transportation'!L2","Other steps the company is taking to ensure a greener transportation program")</f>
        <v>Other steps the company is taking to ensure a greener transportation program</v>
      </c>
      <c r="S12" s="24" t="str">
        <f>HYPERLINK("#'Perqs &amp; Allowances'!L1","Q11.3_10_1")</f>
        <v>Q11.3_10_1</v>
      </c>
      <c r="T12" s="4" t="str">
        <f>HYPERLINK("#'Perqs &amp; Allowances'!L2","Annual maximum benefit amount provided for - Internet subsidy  ")</f>
        <v xml:space="preserve">Annual maximum benefit amount provided for - Internet subsidy  </v>
      </c>
      <c r="U12" s="33"/>
    </row>
    <row r="13" spans="1:25" ht="24.95" customHeight="1" x14ac:dyDescent="0.25">
      <c r="A13" s="2" t="str">
        <f>HYPERLINK("#'Demographics'!M1","Q2.13_1")</f>
        <v>Q2.13_1</v>
      </c>
      <c r="B13" s="4" t="str">
        <f>HYPERLINK("#'Demographics'!M2","Major accomplishments in 2022: Audits")</f>
        <v>Major accomplishments in 2022: Audits</v>
      </c>
      <c r="C13" s="24" t="str">
        <f>HYPERLINK("#'Supp. Healthcare'!M1","Q3.10")</f>
        <v>Q3.10</v>
      </c>
      <c r="D13" s="4" t="str">
        <f>HYPERLINK("#'Supp. Healthcare'!M2","Supplemental healthcare policy has a pre-existing condition waiting period")</f>
        <v>Supplemental healthcare policy has a pre-existing condition waiting period</v>
      </c>
      <c r="E13" s="24" t="str">
        <f>HYPERLINK("#'Dental &amp; Vision'!M1","Q4.12")</f>
        <v>Q4.12</v>
      </c>
      <c r="F13" s="4" t="str">
        <f>HYPERLINK("#'Dental &amp; Vision'!M2","Dental plan has a coinsurance on basic preventive and/or basic restorative services")</f>
        <v>Dental plan has a coinsurance on basic preventive and/or basic restorative services</v>
      </c>
      <c r="G13" s="24" t="str">
        <f>HYPERLINK("#'Life, AD&amp;D, Critical Illness'!M1","Q5.11")</f>
        <v>Q5.11</v>
      </c>
      <c r="H13" s="4" t="str">
        <f>HYPERLINK("#'Life, AD&amp;D, Critical Illness'!M2","Multiple of earnings provided")</f>
        <v>Multiple of earnings provided</v>
      </c>
      <c r="I13" s="32" t="str">
        <f>HYPERLINK("#'Sickness &amp; Disability'!M1","Q6.13")</f>
        <v>Q6.13</v>
      </c>
      <c r="J13" s="36" t="str">
        <f>HYPERLINK("#'Sickness &amp; Disability'!M2","How days above the carry forward maximum are treated")</f>
        <v>How days above the carry forward maximum are treated</v>
      </c>
      <c r="K13" s="24" t="str">
        <f>HYPERLINK("#'Retirement'!M1","Q7.13")</f>
        <v>Q7.13</v>
      </c>
      <c r="L13" s="4" t="str">
        <f>HYPERLINK("#'Retirement'!M2","DC Plan - How employee contributions are capped")</f>
        <v>DC Plan - How employee contributions are capped</v>
      </c>
      <c r="M13" s="24" t="str">
        <f>HYPERLINK("#'Leaves'!M1","Q8.12")</f>
        <v>Q8.12</v>
      </c>
      <c r="N13" s="4" t="str">
        <f>HYPERLINK("#'Leaves'!M2","Maximum amount of vacation/PTO time an employee may have")</f>
        <v>Maximum amount of vacation/PTO time an employee may have</v>
      </c>
      <c r="O13" s="24" t="str">
        <f>HYPERLINK("#'Wellbeing'!M1","Q9.8_6_TEXT")</f>
        <v>Q9.8_6_TEXT</v>
      </c>
      <c r="P13" s="4" t="str">
        <f>HYPERLINK("#'Wellbeing'!M2","Other areas considered when designing wellbeing programs")</f>
        <v>Other areas considered when designing wellbeing programs</v>
      </c>
      <c r="Q13" s="24" t="str">
        <f>HYPERLINK("#'Transportation'!M1","Q10.8")</f>
        <v>Q10.8</v>
      </c>
      <c r="R13" s="4" t="str">
        <f>HYPERLINK("#'Transportation'!M2","Programs included in the transportation policy")</f>
        <v>Programs included in the transportation policy</v>
      </c>
      <c r="S13" s="24" t="str">
        <f>HYPERLINK("#'Perqs &amp; Allowances'!M1","Q11.3_11_1")</f>
        <v>Q11.3_11_1</v>
      </c>
      <c r="T13" s="4" t="str">
        <f>HYPERLINK("#'Perqs &amp; Allowances'!M2","Annual maximum benefit amount provided for - Relocation assistance")</f>
        <v>Annual maximum benefit amount provided for - Relocation assistance</v>
      </c>
      <c r="U13" s="33"/>
    </row>
    <row r="14" spans="1:25" ht="24.95" customHeight="1" x14ac:dyDescent="0.25">
      <c r="A14" s="2" t="str">
        <f>HYPERLINK("#'Demographics'!N1","Q2.13_4")</f>
        <v>Q2.13_4</v>
      </c>
      <c r="B14" s="4" t="str">
        <f>HYPERLINK("#'Demographics'!N2","Major accomplishments in 2022: Communications")</f>
        <v>Major accomplishments in 2022: Communications</v>
      </c>
      <c r="C14" s="24" t="str">
        <f>HYPERLINK("#'Supp. Healthcare'!N1","Q3.11")</f>
        <v>Q3.11</v>
      </c>
      <c r="D14" s="4" t="str">
        <f>HYPERLINK("#'Supp. Healthcare'!N2","Pre-existing condition waiting period")</f>
        <v>Pre-existing condition waiting period</v>
      </c>
      <c r="E14" s="24" t="str">
        <f>HYPERLINK("#'Dental &amp; Vision'!N1","Q4.13")</f>
        <v>Q4.13</v>
      </c>
      <c r="F14" s="4" t="str">
        <f>HYPERLINK("#'Dental &amp; Vision'!N2","Percentage of coinsurance the employee pays on basic preventive services for the dental plan")</f>
        <v>Percentage of coinsurance the employee pays on basic preventive services for the dental plan</v>
      </c>
      <c r="G14" s="24" t="str">
        <f>HYPERLINK("#'Life, AD&amp;D, Critical Illness'!N1","Q5.11_7_TEXT")</f>
        <v>Q5.11_7_TEXT</v>
      </c>
      <c r="H14" s="4" t="str">
        <f>HYPERLINK("#'Life, AD&amp;D, Critical Illness'!N2","Other multiple of earnings provided")</f>
        <v>Other multiple of earnings provided</v>
      </c>
      <c r="I14" s="32" t="str">
        <f>HYPERLINK("#'Sickness &amp; Disability'!N1","Q6.14")</f>
        <v>Q6.14</v>
      </c>
      <c r="J14" s="36" t="str">
        <f>HYPERLINK("#'Sickness &amp; Disability'!N2","Other way days above the carry forward maximum are treated")</f>
        <v>Other way days above the carry forward maximum are treated</v>
      </c>
      <c r="K14" s="24" t="str">
        <f>HYPERLINK("#'Retirement'!N1","Q7.14")</f>
        <v>Q7.14</v>
      </c>
      <c r="L14" s="4" t="str">
        <f>HYPERLINK("#'Retirement'!N2","DC Plan - Maximum percentage of compensation employees may contribute")</f>
        <v>DC Plan - Maximum percentage of compensation employees may contribute</v>
      </c>
      <c r="M14" s="24" t="str">
        <f>HYPERLINK("#'Leaves'!N1","Q8.13")</f>
        <v>Q8.13</v>
      </c>
      <c r="N14" s="4" t="str">
        <f>HYPERLINK("#'Leaves'!N2","How time above the vacation/PTO limit is treated")</f>
        <v>How time above the vacation/PTO limit is treated</v>
      </c>
      <c r="O14" s="24" t="str">
        <f>HYPERLINK("#'Wellbeing'!N1","Q9.9")</f>
        <v>Q9.9</v>
      </c>
      <c r="P14" s="4" t="str">
        <f>HYPERLINK("#'Wellbeing'!N2","Have wellbeing advocates in place to promote and support wellbeing")</f>
        <v>Have wellbeing advocates in place to promote and support wellbeing</v>
      </c>
      <c r="Q14" s="24" t="str">
        <f>HYPERLINK("#'Transportation'!N1","Q10.8_10_TEXT")</f>
        <v>Q10.8_10_TEXT</v>
      </c>
      <c r="R14" s="4" t="str">
        <f>HYPERLINK("#'Transportation'!N2","Other programs included in the transportation policy")</f>
        <v>Other programs included in the transportation policy</v>
      </c>
      <c r="S14" s="24" t="str">
        <f>HYPERLINK("#'Perqs &amp; Allowances'!N1","Q11.3_12_1")</f>
        <v>Q11.3_12_1</v>
      </c>
      <c r="T14" s="4" t="str">
        <f>HYPERLINK("#'Perqs &amp; Allowances'!N2","Annual maximum benefit amount provided for - Service awards")</f>
        <v>Annual maximum benefit amount provided for - Service awards</v>
      </c>
      <c r="U14" s="33"/>
    </row>
    <row r="15" spans="1:25" ht="24.95" customHeight="1" x14ac:dyDescent="0.25">
      <c r="A15" s="2" t="str">
        <f>HYPERLINK("#'Demographics'!O1","Q2.13_5")</f>
        <v>Q2.13_5</v>
      </c>
      <c r="B15" s="4" t="str">
        <f>HYPERLINK("#'Demographics'!O2","Major accomplishments in 2022: Compliance")</f>
        <v>Major accomplishments in 2022: Compliance</v>
      </c>
      <c r="C15" s="24" t="str">
        <f>HYPERLINK("#'Supp. Healthcare'!O1","Q3.11_8_TEXT")</f>
        <v>Q3.11_8_TEXT</v>
      </c>
      <c r="D15" s="4" t="str">
        <f>HYPERLINK("#'Supp. Healthcare'!O2","Other pre-existing condition waiting period")</f>
        <v>Other pre-existing condition waiting period</v>
      </c>
      <c r="E15" s="24" t="str">
        <f>HYPERLINK("#'Dental &amp; Vision'!O1","Q4.14")</f>
        <v>Q4.14</v>
      </c>
      <c r="F15" s="4" t="str">
        <f>HYPERLINK("#'Dental &amp; Vision'!O2","Percentage of coinsurance the employee pays on basic restorative services for the dental plan")</f>
        <v>Percentage of coinsurance the employee pays on basic restorative services for the dental plan</v>
      </c>
      <c r="G15" s="24" t="str">
        <f>HYPERLINK("#'Life, AD&amp;D, Critical Illness'!O1","Q5.12")</f>
        <v>Q5.12</v>
      </c>
      <c r="H15" s="4" t="str">
        <f>HYPERLINK("#'Life, AD&amp;D, Critical Illness'!O2","Other benefit formula used to determine the amount of the company-provided basic life insurance benefit")</f>
        <v>Other benefit formula used to determine the amount of the company-provided basic life insurance benefit</v>
      </c>
      <c r="I15" s="32" t="str">
        <f>HYPERLINK("#'Sickness &amp; Disability'!O1","Q6.15")</f>
        <v>Q6.15</v>
      </c>
      <c r="J15" s="36" t="str">
        <f>HYPERLINK("#'Sickness &amp; Disability'!O2","Have a time limit for when the carry forward days must be used")</f>
        <v>Have a time limit for when the carry forward days must be used</v>
      </c>
      <c r="K15" s="24" t="str">
        <f>HYPERLINK("#'Retirement'!O1","Q7.15")</f>
        <v>Q7.15</v>
      </c>
      <c r="L15" s="4" t="str">
        <f>HYPERLINK("#'Retirement'!O2","DC Plan - Annual maximum flat amount employees may contribute in CAD")</f>
        <v>DC Plan - Annual maximum flat amount employees may contribute in CAD</v>
      </c>
      <c r="M15" s="24" t="str">
        <f>HYPERLINK("#'Leaves'!O1","Q8.13_6_TEXT")</f>
        <v>Q8.13_6_TEXT</v>
      </c>
      <c r="N15" s="11" t="str">
        <f>HYPERLINK("#'Leaves'!O2","Other ways time above the vacation/PTO limit is treated")</f>
        <v>Other ways time above the vacation/PTO limit is treated</v>
      </c>
      <c r="O15" s="24" t="str">
        <f>HYPERLINK("#'Wellbeing'!O1","Q9.10")</f>
        <v>Q9.10</v>
      </c>
      <c r="P15" s="4" t="str">
        <f>HYPERLINK("#'Wellbeing'!O2","Types of wellbeing advocates the company has")</f>
        <v>Types of wellbeing advocates the company has</v>
      </c>
      <c r="Q15" s="24" t="str">
        <f>HYPERLINK("#'Transportation'!O1","Q10.10")</f>
        <v>Q10.10</v>
      </c>
      <c r="R15" s="4" t="str">
        <f>HYPERLINK("#'Transportation'!O2","Criteria used when determining employee eligibility for a car benefit (vehicle or allowance)")</f>
        <v>Criteria used when determining employee eligibility for a car benefit (vehicle or allowance)</v>
      </c>
      <c r="S15" s="24" t="str">
        <f>HYPERLINK("#'Perqs &amp; Allowances'!O1","Q11.3_13_1")</f>
        <v>Q11.3_13_1</v>
      </c>
      <c r="T15" s="4" t="str">
        <f>HYPERLINK("#'Perqs &amp; Allowances'!O2","Annual maximum benefit amount provided for - Wireless device subsidy")</f>
        <v>Annual maximum benefit amount provided for - Wireless device subsidy</v>
      </c>
      <c r="U15" s="33"/>
    </row>
    <row r="16" spans="1:25" ht="24.95" customHeight="1" x14ac:dyDescent="0.25">
      <c r="A16" s="2" t="str">
        <f>HYPERLINK("#'Demographics'!P1","Q2.13_6")</f>
        <v>Q2.13_6</v>
      </c>
      <c r="B16" s="4" t="str">
        <f>HYPERLINK("#'Demographics'!P2","Major accomplishments in 2022: Cost")</f>
        <v>Major accomplishments in 2022: Cost</v>
      </c>
      <c r="C16" s="24" t="str">
        <f>HYPERLINK("#'Supp. Healthcare'!P1","Q3.12")</f>
        <v>Q3.12</v>
      </c>
      <c r="D16" s="4" t="str">
        <f>HYPERLINK("#'Supp. Healthcare'!P2","Supplemental healthcare coverage has different levels/plan designs")</f>
        <v>Supplemental healthcare coverage has different levels/plan designs</v>
      </c>
      <c r="E16" s="24" t="str">
        <f>HYPERLINK("#'Dental &amp; Vision'!P1","Q4.15")</f>
        <v>Q4.15</v>
      </c>
      <c r="F16" s="4" t="str">
        <f>HYPERLINK("#'Dental &amp; Vision'!P2","Dental plan has a coinsurance on major treatments")</f>
        <v>Dental plan has a coinsurance on major treatments</v>
      </c>
      <c r="G16" s="24" t="str">
        <f>HYPERLINK("#'Life, AD&amp;D, Critical Illness'!P1","Q5.13")</f>
        <v>Q5.13</v>
      </c>
      <c r="H16" s="4" t="str">
        <f>HYPERLINK("#'Life, AD&amp;D, Critical Illness'!P2","Company-provided basic life insurance benefit has a cap")</f>
        <v>Company-provided basic life insurance benefit has a cap</v>
      </c>
      <c r="I16" s="32" t="str">
        <f>HYPERLINK("#'Sickness &amp; Disability'!P1","Q6.16")</f>
        <v>Q6.16</v>
      </c>
      <c r="J16" s="36" t="str">
        <f>HYPERLINK("#'Sickness &amp; Disability'!P2","Time limit for the carry forward days")</f>
        <v>Time limit for the carry forward days</v>
      </c>
      <c r="K16" s="24" t="str">
        <f>HYPERLINK("#'Retirement'!P1","Q7.16")</f>
        <v>Q7.16</v>
      </c>
      <c r="L16" s="4" t="str">
        <f>HYPERLINK("#'Retirement'!P2","DC Plan - Other maximum amount employees may contribute")</f>
        <v>DC Plan - Other maximum amount employees may contribute</v>
      </c>
      <c r="M16" s="24" t="str">
        <f>HYPERLINK("#'Leaves'!P1","Q8.14")</f>
        <v>Q8.14</v>
      </c>
      <c r="N16" s="4" t="str">
        <f>HYPERLINK("#'Leaves'!P2","Have a maximum number of days that can be carried forward")</f>
        <v>Have a maximum number of days that can be carried forward</v>
      </c>
      <c r="O16" s="24" t="str">
        <f>HYPERLINK("#'Wellbeing'!P1","Q9.10_9_TEXT")</f>
        <v>Q9.10_9_TEXT</v>
      </c>
      <c r="P16" s="4" t="str">
        <f>HYPERLINK("#'Wellbeing'!P2","Other types of wellbeing advocates the company has")</f>
        <v>Other types of wellbeing advocates the company has</v>
      </c>
      <c r="Q16" s="24" t="str">
        <f>HYPERLINK("#'Transportation'!P1","Q10.10_10_TEXT")</f>
        <v>Q10.10_10_TEXT</v>
      </c>
      <c r="R16" s="4" t="str">
        <f>HYPERLINK("#'Transportation'!P2","Other criteria used when determining employee eligibility for a car benefit (vehicle or allowance)")</f>
        <v>Other criteria used when determining employee eligibility for a car benefit (vehicle or allowance)</v>
      </c>
      <c r="S16" s="24" t="str">
        <f>HYPERLINK("#'Perqs &amp; Allowances'!P1","Q11.3_14_1")</f>
        <v>Q11.3_14_1</v>
      </c>
      <c r="T16" s="4" t="str">
        <f>HYPERLINK("#'Perqs &amp; Allowances'!P2","Annual maximum benefit amount provided for - Other family friendly benefit")</f>
        <v>Annual maximum benefit amount provided for - Other family friendly benefit</v>
      </c>
      <c r="U16" s="33"/>
    </row>
    <row r="17" spans="1:21" ht="24.95" customHeight="1" x14ac:dyDescent="0.25">
      <c r="A17" s="2" t="str">
        <f>HYPERLINK("#'Demographics'!Q1","Q2.13_7")</f>
        <v>Q2.13_7</v>
      </c>
      <c r="B17" s="4" t="str">
        <f>HYPERLINK("#'Demographics'!Q2","Major accomplishments in 2022: DE&amp;I")</f>
        <v>Major accomplishments in 2022: DE&amp;I</v>
      </c>
      <c r="C17" s="24" t="str">
        <f>HYPERLINK("#'Supp. Healthcare'!Q1","Q3.13")</f>
        <v>Q3.13</v>
      </c>
      <c r="D17" s="4" t="str">
        <f>HYPERLINK("#'Supp. Healthcare'!Q2","Different supplemental healthcare levels/plan designs")</f>
        <v>Different supplemental healthcare levels/plan designs</v>
      </c>
      <c r="E17" s="24" t="str">
        <f>HYPERLINK("#'Dental &amp; Vision'!Q1","Q4.16")</f>
        <v>Q4.16</v>
      </c>
      <c r="F17" s="4" t="str">
        <f>HYPERLINK("#'Dental &amp; Vision'!Q2","Percentage of coinsurance the employee pays on major treatments for the dental plan")</f>
        <v>Percentage of coinsurance the employee pays on major treatments for the dental plan</v>
      </c>
      <c r="G17" s="24" t="str">
        <f>HYPERLINK("#'Life, AD&amp;D, Critical Illness'!Q1","Q5.14")</f>
        <v>Q5.14</v>
      </c>
      <c r="H17" s="4" t="str">
        <f>HYPERLINK("#'Life, AD&amp;D, Critical Illness'!Q2","Maximum company-provided basic life insurance amount in CAD")</f>
        <v>Maximum company-provided basic life insurance amount in CAD</v>
      </c>
      <c r="I17" s="32" t="str">
        <f>HYPERLINK("#'Sickness &amp; Disability'!Q1","Q6.17")</f>
        <v>Q6.17</v>
      </c>
      <c r="J17" s="36" t="str">
        <f>HYPERLINK("#'Sickness &amp; Disability'!Q2","How days above the carry forward time limit are treated")</f>
        <v>How days above the carry forward time limit are treated</v>
      </c>
      <c r="K17" s="24" t="str">
        <f>HYPERLINK("#'Retirement'!Q1","Q7.17")</f>
        <v>Q7.17</v>
      </c>
      <c r="L17" s="4" t="str">
        <f>HYPERLINK("#'Retirement'!Q2","DC Plan includes an auto-enrollment feature")</f>
        <v>DC Plan includes an auto-enrollment feature</v>
      </c>
      <c r="M17" s="24" t="str">
        <f>HYPERLINK("#'Leaves'!Q1","Q8.15")</f>
        <v>Q8.15</v>
      </c>
      <c r="N17" s="4" t="str">
        <f>HYPERLINK("#'Leaves'!Q2","Maximum number of days that can be carried forward")</f>
        <v>Maximum number of days that can be carried forward</v>
      </c>
      <c r="O17" s="24" t="str">
        <f>HYPERLINK("#'Wellbeing'!Q1","Q9.11")</f>
        <v>Q9.11</v>
      </c>
      <c r="P17" s="4" t="str">
        <f>HYPERLINK("#'Wellbeing'!Q2","Support received by the wellbeing ambassadors and/or champions")</f>
        <v>Support received by the wellbeing ambassadors and/or champions</v>
      </c>
      <c r="Q17" s="24" t="str">
        <f>HYPERLINK("#'Transportation'!Q1","Q10.11")</f>
        <v>Q10.11</v>
      </c>
      <c r="R17" s="4" t="str">
        <f>HYPERLINK("#'Transportation'!Q2","How the company determines the business need for a car benefit (vehicle or allowance)")</f>
        <v>How the company determines the business need for a car benefit (vehicle or allowance)</v>
      </c>
      <c r="S17" s="24" t="str">
        <f>HYPERLINK("#'Perqs &amp; Allowances'!Q1","Q11.3_15_1")</f>
        <v>Q11.3_15_1</v>
      </c>
      <c r="T17" s="4" t="str">
        <f>HYPERLINK("#'Perqs &amp; Allowances'!Q2","Annual maximum benefit amount provided for - Other offering to remote workers")</f>
        <v>Annual maximum benefit amount provided for - Other offering to remote workers</v>
      </c>
      <c r="U17" s="33"/>
    </row>
    <row r="18" spans="1:21" ht="24.95" customHeight="1" x14ac:dyDescent="0.25">
      <c r="A18" s="2" t="str">
        <f>HYPERLINK("#'Demographics'!R1","Q2.13_8")</f>
        <v>Q2.13_8</v>
      </c>
      <c r="B18" s="4" t="str">
        <f>HYPERLINK("#'Demographics'!R2","Major accomplishments in 2022: Disability")</f>
        <v>Major accomplishments in 2022: Disability</v>
      </c>
      <c r="C18" s="24" t="str">
        <f>HYPERLINK("#'Supp. Healthcare'!R1","Q3.15")</f>
        <v>Q3.15</v>
      </c>
      <c r="D18" s="11" t="str">
        <f>HYPERLINK("#'Supp. Healthcare'!R2","Types of coverage included in the supplemental healthcare plan")</f>
        <v>Types of coverage included in the supplemental healthcare plan</v>
      </c>
      <c r="E18" s="24" t="str">
        <f>HYPERLINK("#'Dental &amp; Vision'!R1","Q4.17")</f>
        <v>Q4.17</v>
      </c>
      <c r="F18" s="4" t="str">
        <f>HYPERLINK("#'Dental &amp; Vision'!R2","Who is eligible to receive orthodontia services")</f>
        <v>Who is eligible to receive orthodontia services</v>
      </c>
      <c r="G18" s="24" t="str">
        <f>HYPERLINK("#'Life, AD&amp;D, Critical Illness'!R1","Q5.15")</f>
        <v>Q5.15</v>
      </c>
      <c r="H18" s="4" t="str">
        <f>HYPERLINK("#'Life, AD&amp;D, Critical Illness'!R2","Type of life insurance benefits provided to dependents are the same as those provided to employees")</f>
        <v>Type of life insurance benefits provided to dependents are the same as those provided to employees</v>
      </c>
      <c r="I18" s="32" t="str">
        <f>HYPERLINK("#'Sickness &amp; Disability'!R1","Q6.17_3_TEXT")</f>
        <v>Q6.17_3_TEXT</v>
      </c>
      <c r="J18" s="36" t="str">
        <f>HYPERLINK("#'Sickness &amp; Disability'!R2","Other way days above the carry forward time limit are treated")</f>
        <v>Other way days above the carry forward time limit are treated</v>
      </c>
      <c r="K18" s="24" t="str">
        <f>HYPERLINK("#'Retirement'!R1","Q7.18")</f>
        <v>Q7.18</v>
      </c>
      <c r="L18" s="4" t="str">
        <f>HYPERLINK("#'Retirement'!R2","DC Plan includes an auto-escalation feature")</f>
        <v>DC Plan includes an auto-escalation feature</v>
      </c>
      <c r="M18" s="24" t="str">
        <f>HYPERLINK("#'Leaves'!R1","Q8.16")</f>
        <v>Q8.16</v>
      </c>
      <c r="N18" s="4" t="str">
        <f>HYPERLINK("#'Leaves'!R2","How days above the carry forward limit are treated")</f>
        <v>How days above the carry forward limit are treated</v>
      </c>
      <c r="O18" s="24" t="str">
        <f>HYPERLINK("#'Wellbeing'!R1","Q9.11_7_TEXT")</f>
        <v>Q9.11_7_TEXT</v>
      </c>
      <c r="P18" s="4" t="str">
        <f>HYPERLINK("#'Wellbeing'!R2","Other support received by the wellbeing ambassadors and/or champions")</f>
        <v>Other support received by the wellbeing ambassadors and/or champions</v>
      </c>
      <c r="Q18" s="24" t="str">
        <f>HYPERLINK("#'Transportation'!R1","Q10.11_7_TEXT")</f>
        <v>Q10.11_7_TEXT</v>
      </c>
      <c r="R18" s="4" t="str">
        <f>HYPERLINK("#'Transportation'!R2","Other ways the company determines the business need for a car benefit (vehicle or allowance)")</f>
        <v>Other ways the company determines the business need for a car benefit (vehicle or allowance)</v>
      </c>
      <c r="S18" s="24" t="str">
        <f>HYPERLINK("#'Perqs &amp; Allowances'!R1","Q11.3_16_1")</f>
        <v>Q11.3_16_1</v>
      </c>
      <c r="T18" s="4" t="str">
        <f>HYPERLINK("#'Perqs &amp; Allowances'!R2","Annual maximum benefit amount provided for - Other perquisites and allowances")</f>
        <v>Annual maximum benefit amount provided for - Other perquisites and allowances</v>
      </c>
      <c r="U18" s="33"/>
    </row>
    <row r="19" spans="1:21" ht="24.95" customHeight="1" x14ac:dyDescent="0.25">
      <c r="A19" s="2" t="str">
        <f>HYPERLINK("#'Demographics'!S1","Q2.13_9")</f>
        <v>Q2.13_9</v>
      </c>
      <c r="B19" s="4" t="str">
        <f>HYPERLINK("#'Demographics'!S2","Major accomplishments in 2022: Employee experience")</f>
        <v>Major accomplishments in 2022: Employee experience</v>
      </c>
      <c r="C19" s="24" t="str">
        <f>HYPERLINK("#'Supp. Healthcare'!S1","Q3.16")</f>
        <v>Q3.16</v>
      </c>
      <c r="D19" s="4" t="str">
        <f>HYPERLINK("#'Supp. Healthcare'!S2","Other type of coverage included in the supplemental healthcare plan")</f>
        <v>Other type of coverage included in the supplemental healthcare plan</v>
      </c>
      <c r="E19" s="24" t="str">
        <f>HYPERLINK("#'Dental &amp; Vision'!S1","Q4.17_5_TEXT")</f>
        <v>Q4.17_5_TEXT</v>
      </c>
      <c r="F19" s="4" t="str">
        <f>HYPERLINK("#'Dental &amp; Vision'!S2","Other group(s) eligible to receive orthodontia services")</f>
        <v>Other group(s) eligible to receive orthodontia services</v>
      </c>
      <c r="G19" s="24" t="str">
        <f>HYPERLINK("#'Life, AD&amp;D, Critical Illness'!S1","Q5.16")</f>
        <v>Q5.16</v>
      </c>
      <c r="H19" s="4" t="str">
        <f>HYPERLINK("#'Life, AD&amp;D, Critical Illness'!S2","How the benefits provided to dependents differ from those provided to employees")</f>
        <v>How the benefits provided to dependents differ from those provided to employees</v>
      </c>
      <c r="I19" s="32" t="str">
        <f>HYPERLINK("#'Sickness &amp; Disability'!S1","Q6.19")</f>
        <v>Q6.19</v>
      </c>
      <c r="J19" s="36" t="str">
        <f>HYPERLINK("#'Sickness &amp; Disability'!S2","Company provides supplemental short-term disability benefits to employees above statutory requirements and separate from any sick leave policy")</f>
        <v>Company provides supplemental short-term disability benefits to employees above statutory requirements and separate from any sick leave policy</v>
      </c>
      <c r="K19" s="24" t="str">
        <f>HYPERLINK("#'Retirement'!S1","Q7.19")</f>
        <v>Q7.19</v>
      </c>
      <c r="L19" s="4" t="str">
        <f>HYPERLINK("#'Retirement'!S2","DC Plan - Approach to company participation")</f>
        <v>DC Plan - Approach to company participation</v>
      </c>
      <c r="M19" s="24" t="str">
        <f>HYPERLINK("#'Leaves'!S1","Q8.16_5_TEXT")</f>
        <v>Q8.16_5_TEXT</v>
      </c>
      <c r="N19" s="4" t="str">
        <f>HYPERLINK("#'Leaves'!S2","Other ways days above the carry forward limit are treated")</f>
        <v>Other ways days above the carry forward limit are treated</v>
      </c>
      <c r="O19" s="24" t="str">
        <f>HYPERLINK("#'Wellbeing'!S1","Q9.12")</f>
        <v>Q9.12</v>
      </c>
      <c r="P19" s="4" t="str">
        <f>HYPERLINK("#'Wellbeing'!S2","Assistance mid-level managers and supervisors receive to support wellbeing")</f>
        <v>Assistance mid-level managers and supervisors receive to support wellbeing</v>
      </c>
      <c r="Q19" s="24" t="str">
        <f>HYPERLINK("#'Transportation'!S1","Q10.12")</f>
        <v>Q10.12</v>
      </c>
      <c r="R19" s="4" t="str">
        <f>HYPERLINK("#'Transportation'!S2","Role that approves eligibility for car benefits")</f>
        <v>Role that approves eligibility for car benefits</v>
      </c>
      <c r="S19" s="24" t="str">
        <f>HYPERLINK("#'Perqs &amp; Allowances'!S1","Q11.4")</f>
        <v>Q11.4</v>
      </c>
      <c r="T19" s="4" t="str">
        <f>HYPERLINK("#'Perqs &amp; Allowances'!S2","Daily meal subsidy/lunch voucher amount in CAD")</f>
        <v>Daily meal subsidy/lunch voucher amount in CAD</v>
      </c>
      <c r="U19" s="33"/>
    </row>
    <row r="20" spans="1:21" ht="24.95" customHeight="1" x14ac:dyDescent="0.25">
      <c r="A20" s="2" t="str">
        <f>HYPERLINK("#'Demographics'!T1","Q2.13_10")</f>
        <v>Q2.13_10</v>
      </c>
      <c r="B20" s="4" t="str">
        <f>HYPERLINK("#'Demographics'!T2","Major accomplishments in 2022: Executive benefits")</f>
        <v>Major accomplishments in 2022: Executive benefits</v>
      </c>
      <c r="C20" s="24" t="str">
        <f>HYPERLINK("#'Supp. Healthcare'!T1","Q3.17")</f>
        <v>Q3.17</v>
      </c>
      <c r="D20" s="4" t="str">
        <f>HYPERLINK("#'Supp. Healthcare'!T2","Plan provides room and board for hospital and/or surgical benefits")</f>
        <v>Plan provides room and board for hospital and/or surgical benefits</v>
      </c>
      <c r="E20" s="24" t="str">
        <f>HYPERLINK("#'Dental &amp; Vision'!T1","Q4.18")</f>
        <v>Q4.18</v>
      </c>
      <c r="F20" s="4" t="str">
        <f>HYPERLINK("#'Dental &amp; Vision'!T2","Dental plan has a coinsurance on orthodontics")</f>
        <v>Dental plan has a coinsurance on orthodontics</v>
      </c>
      <c r="G20" s="24" t="str">
        <f>HYPERLINK("#'Life, AD&amp;D, Critical Illness'!T1","Q5.17")</f>
        <v>Q5.17</v>
      </c>
      <c r="H20" s="4" t="str">
        <f>HYPERLINK("#'Life, AD&amp;D, Critical Illness'!T2","Employees can purchase employee life insurance coverage ")</f>
        <v xml:space="preserve">Employees can purchase employee life insurance coverage </v>
      </c>
      <c r="I20" s="32" t="str">
        <f>HYPERLINK("#'Sickness &amp; Disability'!T1","Q6.20")</f>
        <v>Q6.20</v>
      </c>
      <c r="J20" s="36" t="str">
        <f>HYPERLINK("#'Sickness &amp; Disability'!T2","Have a waiting period for participation for new employees")</f>
        <v>Have a waiting period for participation for new employees</v>
      </c>
      <c r="K20" s="24" t="str">
        <f>HYPERLINK("#'Retirement'!T1","Q7.20")</f>
        <v>Q7.20</v>
      </c>
      <c r="L20" s="4" t="str">
        <f>HYPERLINK("#'Retirement'!T2","Percentage the company automatically contributes to the defined contribution plan")</f>
        <v>Percentage the company automatically contributes to the defined contribution plan</v>
      </c>
      <c r="M20" s="24" t="str">
        <f>HYPERLINK("#'Leaves'!T1","Q8.17")</f>
        <v>Q8.17</v>
      </c>
      <c r="N20" s="4" t="str">
        <f>HYPERLINK("#'Leaves'!T2","Have a time limit on when the carry forward days must be used")</f>
        <v>Have a time limit on when the carry forward days must be used</v>
      </c>
      <c r="O20" s="24" t="str">
        <f>HYPERLINK("#'Wellbeing'!T1","Q9.12_6_TEXT")</f>
        <v>Q9.12_6_TEXT</v>
      </c>
      <c r="P20" s="4" t="str">
        <f>HYPERLINK("#'Wellbeing'!T2","Other assistance mid-level managers and supervisors receive to support wellbeing")</f>
        <v>Other assistance mid-level managers and supervisors receive to support wellbeing</v>
      </c>
      <c r="Q20" s="24" t="str">
        <f>HYPERLINK("#'Transportation'!T1","Q10.12_8_TEXT")</f>
        <v>Q10.12_8_TEXT</v>
      </c>
      <c r="R20" s="4" t="str">
        <f>HYPERLINK("#'Transportation'!T2","Other role that approves eligibility for car benefits")</f>
        <v>Other role that approves eligibility for car benefits</v>
      </c>
      <c r="S20" s="24" t="str">
        <f>HYPERLINK("#'Perqs &amp; Allowances'!T1","Q11.5")</f>
        <v>Q11.5</v>
      </c>
      <c r="T20" s="4" t="str">
        <f>HYPERLINK("#'Perqs &amp; Allowances'!T2","Number of backup childcare days available each year")</f>
        <v>Number of backup childcare days available each year</v>
      </c>
      <c r="U20" s="33"/>
    </row>
    <row r="21" spans="1:21" ht="24.95" customHeight="1" x14ac:dyDescent="0.25">
      <c r="A21" s="2" t="str">
        <f>HYPERLINK("#'Demographics'!U1","Q2.13_11")</f>
        <v>Q2.13_11</v>
      </c>
      <c r="B21" s="4" t="str">
        <f>HYPERLINK("#'Demographics'!U2","Major accomplishments in 2022: Health plans")</f>
        <v>Major accomplishments in 2022: Health plans</v>
      </c>
      <c r="C21" s="24" t="str">
        <f>HYPERLINK("#'Supp. Healthcare'!U1","Q3.18")</f>
        <v>Q3.18</v>
      </c>
      <c r="D21" s="4" t="str">
        <f>HYPERLINK("#'Supp. Healthcare'!U2","Room and board rate for hospital and/or surgical benefits in CAD")</f>
        <v>Room and board rate for hospital and/or surgical benefits in CAD</v>
      </c>
      <c r="E21" s="24" t="str">
        <f>HYPERLINK("#'Dental &amp; Vision'!U1","Q4.19")</f>
        <v>Q4.19</v>
      </c>
      <c r="F21" s="4" t="str">
        <f>HYPERLINK("#'Dental &amp; Vision'!U2","Percentage of coinsurance the employee pays on orthodontics for the dental plan")</f>
        <v>Percentage of coinsurance the employee pays on orthodontics for the dental plan</v>
      </c>
      <c r="G21" s="24" t="str">
        <f>HYPERLINK("#'Life, AD&amp;D, Critical Illness'!U1","Q5.18")</f>
        <v>Q5.18</v>
      </c>
      <c r="H21" s="4" t="str">
        <f>HYPERLINK("#'Life, AD&amp;D, Critical Illness'!U2","Life insurance coverage options available to employees")</f>
        <v>Life insurance coverage options available to employees</v>
      </c>
      <c r="I21" s="32" t="str">
        <f>HYPERLINK("#'Sickness &amp; Disability'!U1","Q6.21")</f>
        <v>Q6.21</v>
      </c>
      <c r="J21" s="36" t="str">
        <f>HYPERLINK("#'Sickness &amp; Disability'!U2","Waiting period (days) for all employees")</f>
        <v>Waiting period (days) for all employees</v>
      </c>
      <c r="K21" s="24" t="str">
        <f>HYPERLINK("#'Retirement'!U1","Q7.21")</f>
        <v>Q7.21</v>
      </c>
      <c r="L21" s="4" t="str">
        <f>HYPERLINK("#'Retirement'!U2","Percentage of employee-paid contributions the company matches")</f>
        <v>Percentage of employee-paid contributions the company matches</v>
      </c>
      <c r="M21" s="24" t="str">
        <f>HYPERLINK("#'Leaves'!U1","Q8.18")</f>
        <v>Q8.18</v>
      </c>
      <c r="N21" s="4" t="str">
        <f>HYPERLINK("#'Leaves'!U2","How long vacation days be carried forward for")</f>
        <v>How long vacation days be carried forward for</v>
      </c>
      <c r="O21" s="24" t="str">
        <f>HYPERLINK("#'Wellbeing'!U1","Q9.13")</f>
        <v>Q9.13</v>
      </c>
      <c r="P21" s="4" t="str">
        <f>HYPERLINK("#'Wellbeing'!U2","Have a corporate wellbeing vendor to help with the strategy, design, and communication of the wellbeing program")</f>
        <v>Have a corporate wellbeing vendor to help with the strategy, design, and communication of the wellbeing program</v>
      </c>
      <c r="Q21" s="24" t="str">
        <f>HYPERLINK("#'Transportation'!U1","Q10.13")</f>
        <v>Q10.13</v>
      </c>
      <c r="R21" s="4" t="str">
        <f>HYPERLINK("#'Transportation'!U2","Groups in the organization (excluding sales positions) that are eligible for car benefits (vehicle or allowance)")</f>
        <v>Groups in the organization (excluding sales positions) that are eligible for car benefits (vehicle or allowance)</v>
      </c>
      <c r="S21" s="24" t="str">
        <f>HYPERLINK("#'Perqs &amp; Allowances'!U1","Q11.6")</f>
        <v>Q11.6</v>
      </c>
      <c r="T21" s="4" t="str">
        <f>HYPERLINK("#'Perqs &amp; Allowances'!U2","Number of backup elder/dependent care days available each year")</f>
        <v>Number of backup elder/dependent care days available each year</v>
      </c>
      <c r="U21" s="33"/>
    </row>
    <row r="22" spans="1:21" ht="24.95" customHeight="1" x14ac:dyDescent="0.25">
      <c r="A22" s="2" t="str">
        <f>HYPERLINK("#'Demographics'!V1","Q2.13_12")</f>
        <v>Q2.13_12</v>
      </c>
      <c r="B22" s="4" t="str">
        <f>HYPERLINK("#'Demographics'!V2","Major accomplishments in 2022: Incentives and perquisites")</f>
        <v>Major accomplishments in 2022: Incentives and perquisites</v>
      </c>
      <c r="C22" s="24" t="str">
        <f>HYPERLINK("#'Supp. Healthcare'!V1","Q3.19")</f>
        <v>Q3.19</v>
      </c>
      <c r="D22" s="4" t="str">
        <f>HYPERLINK("#'Supp. Healthcare'!V2","Plan provides a daily hospital cash allowance for hospital and/or surgical benefits")</f>
        <v>Plan provides a daily hospital cash allowance for hospital and/or surgical benefits</v>
      </c>
      <c r="E22" s="24" t="str">
        <f>HYPERLINK("#'Dental &amp; Vision'!V1","Q4.20")</f>
        <v>Q4.20</v>
      </c>
      <c r="F22" s="4" t="str">
        <f>HYPERLINK("#'Dental &amp; Vision'!V2","Services that have maximum annual benefit amounts")</f>
        <v>Services that have maximum annual benefit amounts</v>
      </c>
      <c r="G22" s="24" t="str">
        <f>HYPERLINK("#'Life, AD&amp;D, Critical Illness'!V1","Q5.19")</f>
        <v>Q5.19</v>
      </c>
      <c r="H22" s="4" t="str">
        <f>HYPERLINK("#'Life, AD&amp;D, Critical Illness'!V2","Employees can purchase life insurance coverage for dependents")</f>
        <v>Employees can purchase life insurance coverage for dependents</v>
      </c>
      <c r="I22" s="32" t="str">
        <f>HYPERLINK("#'Sickness &amp; Disability'!V1","Q6.22")</f>
        <v>Q6.22</v>
      </c>
      <c r="J22" s="36" t="str">
        <f>HYPERLINK("#'Sickness &amp; Disability'!V2","Waiting period (days) for each employee group")</f>
        <v>Waiting period (days) for each employee group</v>
      </c>
      <c r="K22" s="24" t="str">
        <f>HYPERLINK("#'Retirement'!V1","Q7.22")</f>
        <v>Q7.22</v>
      </c>
      <c r="L22" s="4" t="str">
        <f>HYPERLINK("#'Retirement'!V2","Company matching is capped")</f>
        <v>Company matching is capped</v>
      </c>
      <c r="M22" s="24" t="str">
        <f>HYPERLINK("#'Leaves'!V1","Q8.19")</f>
        <v>Q8.19</v>
      </c>
      <c r="N22" s="4" t="str">
        <f>HYPERLINK("#'Leaves'!V2","Earnings used to calculate vacation pay")</f>
        <v>Earnings used to calculate vacation pay</v>
      </c>
      <c r="O22" s="24" t="str">
        <f>HYPERLINK("#'Wellbeing'!V1","Q9.14")</f>
        <v>Q9.14</v>
      </c>
      <c r="P22" s="4" t="str">
        <f>HYPERLINK("#'Wellbeing'!V2","Main corporate wellbeing strategic vendor")</f>
        <v>Main corporate wellbeing strategic vendor</v>
      </c>
      <c r="Q22" s="24" t="str">
        <f>HYPERLINK("#'Transportation'!V1","Q10.13_8_TEXT")</f>
        <v>Q10.13_8_TEXT</v>
      </c>
      <c r="R22" s="4" t="str">
        <f>HYPERLINK("#'Transportation'!V2","Other groups in the organization (excluding sales positions) that are eligible for car benefits (vehicle or allowance)")</f>
        <v>Other groups in the organization (excluding sales positions) that are eligible for car benefits (vehicle or allowance)</v>
      </c>
      <c r="S22" s="24" t="str">
        <f>HYPERLINK("#'Perqs &amp; Allowances'!V1","Q11.7")</f>
        <v>Q11.7</v>
      </c>
      <c r="T22" s="4" t="str">
        <f>HYPERLINK("#'Perqs &amp; Allowances'!V2","Have a waiting period for participation in the tuition assistance program for new employees")</f>
        <v>Have a waiting period for participation in the tuition assistance program for new employees</v>
      </c>
      <c r="U22" s="33"/>
    </row>
    <row r="23" spans="1:21" ht="24.95" customHeight="1" x14ac:dyDescent="0.25">
      <c r="A23" s="2" t="str">
        <f>HYPERLINK("#'Demographics'!W1","Q2.13_13")</f>
        <v>Q2.13_13</v>
      </c>
      <c r="B23" s="4" t="str">
        <f>HYPERLINK("#'Demographics'!W2","Major accomplishments in 2022: Leave of absence")</f>
        <v>Major accomplishments in 2022: Leave of absence</v>
      </c>
      <c r="C23" s="24" t="str">
        <f>HYPERLINK("#'Supp. Healthcare'!W1","Q3.20")</f>
        <v>Q3.20</v>
      </c>
      <c r="D23" s="4" t="str">
        <f>HYPERLINK("#'Supp. Healthcare'!W2","Daily hospital cash allowance in CAD")</f>
        <v>Daily hospital cash allowance in CAD</v>
      </c>
      <c r="E23" s="24" t="str">
        <f>HYPERLINK("#'Dental &amp; Vision'!W1","Q4.20_8_TEXT")</f>
        <v>Q4.20_8_TEXT</v>
      </c>
      <c r="F23" s="4" t="str">
        <f>HYPERLINK("#'Dental &amp; Vision'!W2","Other services that have maximum annual benefit amounts")</f>
        <v>Other services that have maximum annual benefit amounts</v>
      </c>
      <c r="G23" s="24" t="str">
        <f>HYPERLINK("#'Life, AD&amp;D, Critical Illness'!W1","Q5.20")</f>
        <v>Q5.20</v>
      </c>
      <c r="H23" s="4" t="str">
        <f>HYPERLINK("#'Life, AD&amp;D, Critical Illness'!W2","Dependents eligible to participate in the additional life insurance coverage")</f>
        <v>Dependents eligible to participate in the additional life insurance coverage</v>
      </c>
      <c r="I23" s="32" t="str">
        <f>HYPERLINK("#'Sickness &amp; Disability'!W1","Q6.23")</f>
        <v>Q6.23</v>
      </c>
      <c r="J23" s="36" t="str">
        <f>HYPERLINK("#'Sickness &amp; Disability'!W2","Elimination period (days) to receive supplemental short-term disability benefits")</f>
        <v>Elimination period (days) to receive supplemental short-term disability benefits</v>
      </c>
      <c r="K23" s="24" t="str">
        <f>HYPERLINK("#'Retirement'!W1","Q7.23")</f>
        <v>Q7.23</v>
      </c>
      <c r="L23" s="4" t="str">
        <f>HYPERLINK("#'Retirement'!W2","How the company match is capped")</f>
        <v>How the company match is capped</v>
      </c>
      <c r="M23" s="24" t="str">
        <f>HYPERLINK("#'Leaves'!W1","Q8.19_9_TEXT")</f>
        <v>Q8.19_9_TEXT</v>
      </c>
      <c r="N23" s="4" t="str">
        <f>HYPERLINK("#'Leaves'!W2","Other earnings used to calculate vacation pay")</f>
        <v>Other earnings used to calculate vacation pay</v>
      </c>
      <c r="O23" s="24" t="str">
        <f>HYPERLINK("#'Wellbeing'!W1","Q9.14_11_TEXT")</f>
        <v>Q9.14_11_TEXT</v>
      </c>
      <c r="P23" s="4" t="str">
        <f>HYPERLINK("#'Wellbeing'!W2","Other main corporate wellbeing strategic vendor")</f>
        <v>Other main corporate wellbeing strategic vendor</v>
      </c>
      <c r="Q23" s="24" t="str">
        <f>HYPERLINK("#'Transportation'!W1","Q10.14")</f>
        <v>Q10.14</v>
      </c>
      <c r="R23" s="4" t="str">
        <f>HYPERLINK("#'Transportation'!W2","Groups in the sales organization that are eligible for car benefits (vehicle or allowance)")</f>
        <v>Groups in the sales organization that are eligible for car benefits (vehicle or allowance)</v>
      </c>
      <c r="S23" s="24" t="str">
        <f>HYPERLINK("#'Perqs &amp; Allowances'!W1","Q11.8")</f>
        <v>Q11.8</v>
      </c>
      <c r="T23" s="4" t="str">
        <f>HYPERLINK("#'Perqs &amp; Allowances'!W2","Waiting period (days) for all employees")</f>
        <v>Waiting period (days) for all employees</v>
      </c>
      <c r="U23" s="33"/>
    </row>
    <row r="24" spans="1:21" ht="24.95" customHeight="1" x14ac:dyDescent="0.25">
      <c r="A24" s="2" t="str">
        <f>HYPERLINK("#'Demographics'!X1","Q2.13_14")</f>
        <v>Q2.13_14</v>
      </c>
      <c r="B24" s="4" t="str">
        <f>HYPERLINK("#'Demographics'!X2","Major accomplishments in 2022: Mental health")</f>
        <v>Major accomplishments in 2022: Mental health</v>
      </c>
      <c r="C24" s="24" t="str">
        <f>HYPERLINK("#'Supp. Healthcare'!X1","Q3.21")</f>
        <v>Q3.21</v>
      </c>
      <c r="D24" s="4" t="str">
        <f>HYPERLINK("#'Supp. Healthcare'!X2","Plan has a coinsurance for paramedical practitioners (e.g., acupuncturist, chiropractor, etc.)")</f>
        <v>Plan has a coinsurance for paramedical practitioners (e.g., acupuncturist, chiropractor, etc.)</v>
      </c>
      <c r="E24" s="24" t="str">
        <f>HYPERLINK("#'Dental &amp; Vision'!X1","Q4.21_2")</f>
        <v>Q4.21_2</v>
      </c>
      <c r="F24" s="4" t="str">
        <f>HYPERLINK("#'Dental &amp; Vision'!X2","Annual maximum amount in CAD - Overall dental coverage")</f>
        <v>Annual maximum amount in CAD - Overall dental coverage</v>
      </c>
      <c r="G24" s="24" t="str">
        <f>HYPERLINK("#'Life, AD&amp;D, Critical Illness'!X1","Q5.20_7_TEXT")</f>
        <v>Q5.20_7_TEXT</v>
      </c>
      <c r="H24" s="4" t="str">
        <f>HYPERLINK("#'Life, AD&amp;D, Critical Illness'!X2","Other dependents eligible to participate in the additional life insurance coverage")</f>
        <v>Other dependents eligible to participate in the additional life insurance coverage</v>
      </c>
      <c r="I24" s="32" t="str">
        <f>HYPERLINK("#'Sickness &amp; Disability'!X1","Q6.24")</f>
        <v>Q6.24</v>
      </c>
      <c r="J24" s="36" t="str">
        <f>HYPERLINK("#'Sickness &amp; Disability'!X2","Definition of short-term disability - Inability to perform:")</f>
        <v>Definition of short-term disability - Inability to perform:</v>
      </c>
      <c r="K24" s="24" t="str">
        <f>HYPERLINK("#'Retirement'!X1","Q7.24")</f>
        <v>Q7.24</v>
      </c>
      <c r="L24" s="4" t="str">
        <f>HYPERLINK("#'Retirement'!X2","Maximum percentage the company matches")</f>
        <v>Maximum percentage the company matches</v>
      </c>
      <c r="M24" s="24" t="str">
        <f>HYPERLINK("#'Leaves'!X1","Q8.20")</f>
        <v>Q8.20</v>
      </c>
      <c r="N24" s="4" t="str">
        <f>HYPERLINK("#'Leaves'!X2","Percentage used to calculate vacation pay")</f>
        <v>Percentage used to calculate vacation pay</v>
      </c>
      <c r="O24" s="24" t="str">
        <f>HYPERLINK("#'Wellbeing'!X1","Q9.15")</f>
        <v>Q9.15</v>
      </c>
      <c r="P24" s="4" t="str">
        <f>HYPERLINK("#'Wellbeing'!X2","Wellbeing apps and tools offered to employees")</f>
        <v>Wellbeing apps and tools offered to employees</v>
      </c>
      <c r="Q24" s="24" t="str">
        <f>HYPERLINK("#'Transportation'!X1","Q10.14_8_TEXT")</f>
        <v>Q10.14_8_TEXT</v>
      </c>
      <c r="R24" s="4" t="str">
        <f>HYPERLINK("#'Transportation'!X2","Other groups in the sales organization that are eligible for car benefits (vehicle or allowance)")</f>
        <v>Other groups in the sales organization that are eligible for car benefits (vehicle or allowance)</v>
      </c>
      <c r="S24" s="24" t="str">
        <f>HYPERLINK("#'Perqs &amp; Allowances'!X1","Q11.9")</f>
        <v>Q11.9</v>
      </c>
      <c r="T24" s="4" t="str">
        <f>HYPERLINK("#'Perqs &amp; Allowances'!X2","Waiting period (days) for each employee group")</f>
        <v>Waiting period (days) for each employee group</v>
      </c>
      <c r="U24" s="33"/>
    </row>
    <row r="25" spans="1:21" ht="24.95" customHeight="1" x14ac:dyDescent="0.25">
      <c r="A25" s="2" t="str">
        <f>HYPERLINK("#'Demographics'!Y1","Q2.13_15")</f>
        <v>Q2.13_15</v>
      </c>
      <c r="B25" s="4" t="str">
        <f>HYPERLINK("#'Demographics'!Y2","Major accomplishments in 2022: Pilots")</f>
        <v>Major accomplishments in 2022: Pilots</v>
      </c>
      <c r="C25" s="24" t="str">
        <f>HYPERLINK("#'Supp. Healthcare'!Y1","Q3.22")</f>
        <v>Q3.22</v>
      </c>
      <c r="D25" s="4" t="str">
        <f>HYPERLINK("#'Supp. Healthcare'!Y2","Percentage of coinsurance the employee pays on paramedical practitioners")</f>
        <v>Percentage of coinsurance the employee pays on paramedical practitioners</v>
      </c>
      <c r="E25" s="24" t="str">
        <f>HYPERLINK("#'Dental &amp; Vision'!Y1","Q4.21_5")</f>
        <v>Q4.21_5</v>
      </c>
      <c r="F25" s="4" t="str">
        <f>HYPERLINK("#'Dental &amp; Vision'!Y2","Annual maximum amount in CAD - Basic preventive")</f>
        <v>Annual maximum amount in CAD - Basic preventive</v>
      </c>
      <c r="G25" s="24" t="str">
        <f>HYPERLINK("#'Life, AD&amp;D, Critical Illness'!Y1","Q5.21")</f>
        <v>Q5.21</v>
      </c>
      <c r="H25" s="4" t="str">
        <f>HYPERLINK("#'Life, AD&amp;D, Critical Illness'!Y2","Life insurance coverage options available to dependents")</f>
        <v>Life insurance coverage options available to dependents</v>
      </c>
      <c r="I25" s="32" t="str">
        <f>HYPERLINK("#'Sickness &amp; Disability'!Y1","Q6.24_3_TEXT")</f>
        <v>Q6.24_3_TEXT</v>
      </c>
      <c r="J25" s="36" t="str">
        <f>HYPERLINK("#'Sickness &amp; Disability'!Y2","Other definition of short-term disability")</f>
        <v>Other definition of short-term disability</v>
      </c>
      <c r="K25" s="24" t="str">
        <f>HYPERLINK("#'Retirement'!Y1","Q7.25")</f>
        <v>Q7.25</v>
      </c>
      <c r="L25" s="4" t="str">
        <f>HYPERLINK("#'Retirement'!Y2","Maximum flat amount the company matches in CAD")</f>
        <v>Maximum flat amount the company matches in CAD</v>
      </c>
      <c r="M25" s="24" t="str">
        <f>HYPERLINK("#'Leaves'!Y1","Q8.20_6_TEXT")</f>
        <v>Q8.20_6_TEXT</v>
      </c>
      <c r="N25" s="4" t="str">
        <f>HYPERLINK("#'Leaves'!Y2","Other percentage used to calculate vacation pay")</f>
        <v>Other percentage used to calculate vacation pay</v>
      </c>
      <c r="O25" s="24" t="str">
        <f>HYPERLINK("#'Wellbeing'!Y1","Q9.15_8_TEXT")</f>
        <v>Q9.15_8_TEXT</v>
      </c>
      <c r="P25" s="4" t="str">
        <f>HYPERLINK("#'Wellbeing'!Y2","Other wellbeing apps and tools offered to employees")</f>
        <v>Other wellbeing apps and tools offered to employees</v>
      </c>
      <c r="Q25" s="24" t="str">
        <f>HYPERLINK("#'Transportation'!Y1","Q10.16")</f>
        <v>Q10.16</v>
      </c>
      <c r="R25" s="4" t="str">
        <f>HYPERLINK("#'Transportation'!Y2","Benefits the car allowance policy includes")</f>
        <v>Benefits the car allowance policy includes</v>
      </c>
      <c r="S25" s="24" t="str">
        <f>HYPERLINK("#'Perqs &amp; Allowances'!Y1","Q11.10")</f>
        <v>Q11.10</v>
      </c>
      <c r="T25" s="4" t="str">
        <f>HYPERLINK("#'Perqs &amp; Allowances'!Y2","Requirements for an employee to participate in the tuition assistance program")</f>
        <v>Requirements for an employee to participate in the tuition assistance program</v>
      </c>
      <c r="U25" s="33"/>
    </row>
    <row r="26" spans="1:21" ht="24.95" customHeight="1" x14ac:dyDescent="0.25">
      <c r="A26" s="2" t="str">
        <f>HYPERLINK("#'Demographics'!Z1","Q2.13_16")</f>
        <v>Q2.13_16</v>
      </c>
      <c r="B26" s="4" t="str">
        <f>HYPERLINK("#'Demographics'!Z2","Major accomplishments in 2022: Request for proposal or information")</f>
        <v>Major accomplishments in 2022: Request for proposal or information</v>
      </c>
      <c r="C26" s="24" t="str">
        <f>HYPERLINK("#'Supp. Healthcare'!Z1","Q3.23")</f>
        <v>Q3.23</v>
      </c>
      <c r="D26" s="4" t="str">
        <f>HYPERLINK("#'Supp. Healthcare'!Z2","Plan caps the reimbursement for paramedical practitioners")</f>
        <v>Plan caps the reimbursement for paramedical practitioners</v>
      </c>
      <c r="E26" s="24" t="str">
        <f>HYPERLINK("#'Dental &amp; Vision'!Z1","Q4.21_6")</f>
        <v>Q4.21_6</v>
      </c>
      <c r="F26" s="4" t="str">
        <f>HYPERLINK("#'Dental &amp; Vision'!Z2","Annual maximum amount in CAD - Basic restorative")</f>
        <v>Annual maximum amount in CAD - Basic restorative</v>
      </c>
      <c r="G26" s="24" t="str">
        <f>HYPERLINK("#'Life, AD&amp;D, Critical Illness'!Z1","Q5.22")</f>
        <v>Q5.22</v>
      </c>
      <c r="H26" s="4" t="str">
        <f>HYPERLINK("#'Life, AD&amp;D, Critical Illness'!Z2","Cost sharing for the company-provided basic life insurance plan")</f>
        <v>Cost sharing for the company-provided basic life insurance plan</v>
      </c>
      <c r="I26" s="32" t="str">
        <f>HYPERLINK("#'Sickness &amp; Disability'!Z1","Q6.25")</f>
        <v>Q6.25</v>
      </c>
      <c r="J26" s="36" t="str">
        <f>HYPERLINK("#'Sickness &amp; Disability'!Z2","Types of compensation eligible under the supplemental short-term disability plan")</f>
        <v>Types of compensation eligible under the supplemental short-term disability plan</v>
      </c>
      <c r="K26" s="24" t="str">
        <f>HYPERLINK("#'Retirement'!Z1","Q7.26")</f>
        <v>Q7.26</v>
      </c>
      <c r="L26" s="4" t="str">
        <f>HYPERLINK("#'Retirement'!Z2","Maximum other amount the company matches")</f>
        <v>Maximum other amount the company matches</v>
      </c>
      <c r="M26" s="24" t="str">
        <f>HYPERLINK("#'Leaves'!Z1","Q8.21")</f>
        <v>Q8.21</v>
      </c>
      <c r="N26" s="11" t="str">
        <f>HYPERLINK("#'Leaves'!Z2","Percentage higher than government guidelines used to calculate vacation pay")</f>
        <v>Percentage higher than government guidelines used to calculate vacation pay</v>
      </c>
      <c r="O26" s="24" t="str">
        <f>HYPERLINK("#'Wellbeing'!Z1","Q9.16")</f>
        <v>Q9.16</v>
      </c>
      <c r="P26" s="4" t="str">
        <f>HYPERLINK("#'Wellbeing'!Z2","Vendor used for wellbeing apps and tools")</f>
        <v>Vendor used for wellbeing apps and tools</v>
      </c>
      <c r="Q26" s="24" t="str">
        <f>HYPERLINK("#'Transportation'!Z1","Q10.16_10_TEXT")</f>
        <v>Q10.16_10_TEXT</v>
      </c>
      <c r="R26" s="4" t="str">
        <f>HYPERLINK("#'Transportation'!Z2","Other benefits the car allowance policy includes")</f>
        <v>Other benefits the car allowance policy includes</v>
      </c>
      <c r="S26" s="24" t="str">
        <f>HYPERLINK("#'Perqs &amp; Allowances'!Z1","Q11.11")</f>
        <v>Q11.11</v>
      </c>
      <c r="T26" s="4" t="str">
        <f>HYPERLINK("#'Perqs &amp; Allowances'!Z2","Other requirements for an employee to participate in the tuition assistance program")</f>
        <v>Other requirements for an employee to participate in the tuition assistance program</v>
      </c>
      <c r="U26" s="33"/>
    </row>
    <row r="27" spans="1:21" ht="24.95" customHeight="1" x14ac:dyDescent="0.25">
      <c r="A27" s="2" t="str">
        <f>HYPERLINK("#'Demographics'!AA1","Q2.13_17")</f>
        <v>Q2.13_17</v>
      </c>
      <c r="B27" s="4" t="str">
        <f>HYPERLINK("#'Demographics'!AA2","Major accomplishments in 2022: Retirement and savings")</f>
        <v>Major accomplishments in 2022: Retirement and savings</v>
      </c>
      <c r="C27" s="24" t="str">
        <f>HYPERLINK("#'Supp. Healthcare'!AA1","Q3.24")</f>
        <v>Q3.24</v>
      </c>
      <c r="D27" s="4" t="str">
        <f>HYPERLINK("#'Supp. Healthcare'!AA2","Annual maximum in CAD for paramedical practitioners")</f>
        <v>Annual maximum in CAD for paramedical practitioners</v>
      </c>
      <c r="E27" s="24" t="str">
        <f>HYPERLINK("#'Dental &amp; Vision'!AA1","Q4.21_7")</f>
        <v>Q4.21_7</v>
      </c>
      <c r="F27" s="4" t="str">
        <f>HYPERLINK("#'Dental &amp; Vision'!AA2","Annual maximum amount in CAD - Major treatments")</f>
        <v>Annual maximum amount in CAD - Major treatments</v>
      </c>
      <c r="G27" s="24" t="str">
        <f>HYPERLINK("#'Life, AD&amp;D, Critical Illness'!AA1","Q5.23")</f>
        <v>Q5.23</v>
      </c>
      <c r="H27" s="4" t="str">
        <f>HYPERLINK("#'Life, AD&amp;D, Critical Illness'!AA2","How employee cost sharing is determined")</f>
        <v>How employee cost sharing is determined</v>
      </c>
      <c r="I27" s="32" t="str">
        <f>HYPERLINK("#'Sickness &amp; Disability'!AA1","Q6.25_9_TEXT")</f>
        <v>Q6.25_9_TEXT</v>
      </c>
      <c r="J27" s="36" t="str">
        <f>HYPERLINK("#'Sickness &amp; Disability'!AA2","Other types of compensation eligible under the supplemental short-term disability plan")</f>
        <v>Other types of compensation eligible under the supplemental short-term disability plan</v>
      </c>
      <c r="K27" s="24" t="str">
        <f>HYPERLINK("#'Retirement'!AA1","Q7.27")</f>
        <v>Q7.27</v>
      </c>
      <c r="L27" s="4" t="str">
        <f>HYPERLINK("#'Retirement'!AA2","Company’s participation in the defined contribution plan")</f>
        <v>Company’s participation in the defined contribution plan</v>
      </c>
      <c r="M27" s="24" t="str">
        <f>HYPERLINK("#'Leaves'!AA1","Q8.22")</f>
        <v>Q8.22</v>
      </c>
      <c r="N27" s="4" t="str">
        <f>HYPERLINK("#'Leaves'!AA2","Allow employees to buy additional annual leave/vacation/PTO time")</f>
        <v>Allow employees to buy additional annual leave/vacation/PTO time</v>
      </c>
      <c r="O27" s="24" t="str">
        <f>HYPERLINK("#'Wellbeing'!AA1","Q9.16_18_TEXT")</f>
        <v>Q9.16_18_TEXT</v>
      </c>
      <c r="P27" s="4" t="str">
        <f>HYPERLINK("#'Wellbeing'!AA2","Other vendor used for wellbeing apps and tools")</f>
        <v>Other vendor used for wellbeing apps and tools</v>
      </c>
      <c r="Q27" s="24" t="str">
        <f>HYPERLINK("#'Transportation'!AA1","Q10.17_1_1")</f>
        <v>Q10.17_1_1</v>
      </c>
      <c r="R27" s="4" t="str">
        <f>HYPERLINK("#'Transportation'!AA2","Minimum annual car allowance value in CAD for - Directors (Non-sales classification)")</f>
        <v>Minimum annual car allowance value in CAD for - Directors (Non-sales classification)</v>
      </c>
      <c r="S27" s="24" t="str">
        <f>HYPERLINK("#'Perqs &amp; Allowances'!AA1","Q11.12")</f>
        <v>Q11.12</v>
      </c>
      <c r="T27" s="4" t="str">
        <f>HYPERLINK("#'Perqs &amp; Allowances'!AA2","Tuition assistance covers MBAs")</f>
        <v>Tuition assistance covers MBAs</v>
      </c>
      <c r="U27" s="33"/>
    </row>
    <row r="28" spans="1:21" ht="24.95" customHeight="1" x14ac:dyDescent="0.25">
      <c r="A28" s="2" t="str">
        <f>HYPERLINK("#'Demographics'!AB1","Q2.13_18")</f>
        <v>Q2.13_18</v>
      </c>
      <c r="B28" s="4" t="str">
        <f>HYPERLINK("#'Demographics'!AB2","Major accomplishments in 2022: Risk benefits")</f>
        <v>Major accomplishments in 2022: Risk benefits</v>
      </c>
      <c r="C28" s="24" t="str">
        <f>HYPERLINK("#'Supp. Healthcare'!AB1","Q3.25")</f>
        <v>Q3.25</v>
      </c>
      <c r="D28" s="4" t="str">
        <f>HYPERLINK("#'Supp. Healthcare'!AB2","Plan caps the number of visits to paramedical practitioners (e.g., acupuncturist, chiropractor, etc.)")</f>
        <v>Plan caps the number of visits to paramedical practitioners (e.g., acupuncturist, chiropractor, etc.)</v>
      </c>
      <c r="E28" s="24" t="str">
        <f>HYPERLINK("#'Dental &amp; Vision'!AB1","Q4.21_8")</f>
        <v>Q4.21_8</v>
      </c>
      <c r="F28" s="4" t="str">
        <f>HYPERLINK("#'Dental &amp; Vision'!AB2","Annual maximum amount in CAD - Orthodontics")</f>
        <v>Annual maximum amount in CAD - Orthodontics</v>
      </c>
      <c r="G28" s="24" t="str">
        <f>HYPERLINK("#'Life, AD&amp;D, Critical Illness'!AB1","Q5.24")</f>
        <v>Q5.24</v>
      </c>
      <c r="H28" s="4" t="str">
        <f>HYPERLINK("#'Life, AD&amp;D, Critical Illness'!AB2","Monthly flat amount the employee is required to pay in CAD")</f>
        <v>Monthly flat amount the employee is required to pay in CAD</v>
      </c>
      <c r="I28" s="32" t="str">
        <f>HYPERLINK("#'Sickness &amp; Disability'!AB1","Q6.26")</f>
        <v>Q6.26</v>
      </c>
      <c r="J28" s="36" t="str">
        <f>HYPERLINK("#'Sickness &amp; Disability'!AB2","Maximum duration (weeks) of the supplemental short-term disability benefit")</f>
        <v>Maximum duration (weeks) of the supplemental short-term disability benefit</v>
      </c>
      <c r="K28" s="24" t="str">
        <f>HYPERLINK("#'Retirement'!AB1","Q7.28")</f>
        <v>Q7.28</v>
      </c>
      <c r="L28" s="4" t="str">
        <f>HYPERLINK("#'Retirement'!AB2","Vesting schedule for company contributions")</f>
        <v>Vesting schedule for company contributions</v>
      </c>
      <c r="M28" s="24" t="str">
        <f>HYPERLINK("#'Leaves'!AB1","Q8.23")</f>
        <v>Q8.23</v>
      </c>
      <c r="N28" s="4" t="str">
        <f>HYPERLINK("#'Leaves'!AB2","Annual maximum number of days an employee may buy")</f>
        <v>Annual maximum number of days an employee may buy</v>
      </c>
      <c r="O28" s="24" t="str">
        <f>HYPERLINK("#'Wellbeing'!AB1","Q9.17")</f>
        <v>Q9.17</v>
      </c>
      <c r="P28" s="4" t="str">
        <f>HYPERLINK("#'Wellbeing'!AB2","Who can use the wellbeing program")</f>
        <v>Who can use the wellbeing program</v>
      </c>
      <c r="Q28" s="24" t="str">
        <f>HYPERLINK("#'Transportation'!AB1","Q10.17_1_2")</f>
        <v>Q10.17_1_2</v>
      </c>
      <c r="R28" s="4" t="str">
        <f>HYPERLINK("#'Transportation'!AB2","Maximum annual car allowance value in CAD for - Directors (Non-sales classification)")</f>
        <v>Maximum annual car allowance value in CAD for - Directors (Non-sales classification)</v>
      </c>
      <c r="S28" s="24" t="str">
        <f>HYPERLINK("#'Perqs &amp; Allowances'!AB1","Q11.13")</f>
        <v>Q11.13</v>
      </c>
      <c r="T28" s="4" t="str">
        <f>HYPERLINK("#'Perqs &amp; Allowances'!AB2","Tuition assistance covers Executive MBAs")</f>
        <v>Tuition assistance covers Executive MBAs</v>
      </c>
      <c r="U28" s="33"/>
    </row>
    <row r="29" spans="1:21" ht="24.95" customHeight="1" x14ac:dyDescent="0.25">
      <c r="A29" s="2" t="str">
        <f>HYPERLINK("#'Demographics'!AC1","Q2.13_19")</f>
        <v>Q2.13_19</v>
      </c>
      <c r="B29" s="4" t="str">
        <f>HYPERLINK("#'Demographics'!AC2","Major accomplishments in 2022: Systems and tools")</f>
        <v>Major accomplishments in 2022: Systems and tools</v>
      </c>
      <c r="C29" s="24" t="str">
        <f>HYPERLINK("#'Supp. Healthcare'!AC1","Q3.26")</f>
        <v>Q3.26</v>
      </c>
      <c r="D29" s="4" t="str">
        <f>HYPERLINK("#'Supp. Healthcare'!AC2","Annual maximum number of visits to paramedical practitioners")</f>
        <v>Annual maximum number of visits to paramedical practitioners</v>
      </c>
      <c r="E29" s="24" t="str">
        <f>HYPERLINK("#'Dental &amp; Vision'!AC1","Q4.21_9")</f>
        <v>Q4.21_9</v>
      </c>
      <c r="F29" s="4" t="str">
        <f>HYPERLINK("#'Dental &amp; Vision'!AC2","Annual maximum amount in CAD - Other")</f>
        <v>Annual maximum amount in CAD - Other</v>
      </c>
      <c r="G29" s="24" t="str">
        <f>HYPERLINK("#'Life, AD&amp;D, Critical Illness'!AC1","Q5.25")</f>
        <v>Q5.25</v>
      </c>
      <c r="H29" s="4" t="str">
        <f>HYPERLINK("#'Life, AD&amp;D, Critical Illness'!AC2","Percentage the employee is required to pay")</f>
        <v>Percentage the employee is required to pay</v>
      </c>
      <c r="I29" s="32" t="str">
        <f>HYPERLINK("#'Sickness &amp; Disability'!AC1","Q6.27")</f>
        <v>Q6.27</v>
      </c>
      <c r="J29" s="36" t="str">
        <f>HYPERLINK("#'Sickness &amp; Disability'!AC2","Provide the same benefit for the entire short-term disability period")</f>
        <v>Provide the same benefit for the entire short-term disability period</v>
      </c>
      <c r="K29" s="24" t="str">
        <f>HYPERLINK("#'Retirement'!AC1","Q7.29")</f>
        <v>Q7.29</v>
      </c>
      <c r="L29" s="4" t="str">
        <f>HYPERLINK("#'Retirement'!AC2","Years of completed service required for cliff vesting")</f>
        <v>Years of completed service required for cliff vesting</v>
      </c>
      <c r="M29" s="24" t="str">
        <f>HYPERLINK("#'Leaves'!AC1","Q8.24")</f>
        <v>Q8.24</v>
      </c>
      <c r="N29" s="4" t="str">
        <f>HYPERLINK("#'Leaves'!AC2","Allow employees to sell or donate annual leave/vacation/PTO time")</f>
        <v>Allow employees to sell or donate annual leave/vacation/PTO time</v>
      </c>
      <c r="O29" s="24" t="str">
        <f>HYPERLINK("#'Wellbeing'!AC1","Q9.18")</f>
        <v>Q9.18</v>
      </c>
      <c r="P29" s="4" t="str">
        <f>HYPERLINK("#'Wellbeing'!AC2","Dependents eligible to participate in the wellbeing program")</f>
        <v>Dependents eligible to participate in the wellbeing program</v>
      </c>
      <c r="Q29" s="24" t="str">
        <f>HYPERLINK("#'Transportation'!AC1","Q10.17_2_1")</f>
        <v>Q10.17_2_1</v>
      </c>
      <c r="R29" s="4" t="str">
        <f>HYPERLINK("#'Transportation'!AC2","Minimum annual car allowance value in CAD for - First line supervisors (Non-sales classification)")</f>
        <v>Minimum annual car allowance value in CAD for - First line supervisors (Non-sales classification)</v>
      </c>
      <c r="S29" s="24" t="str">
        <f>HYPERLINK("#'Perqs &amp; Allowances'!AC1","Q11.14")</f>
        <v>Q11.14</v>
      </c>
      <c r="T29" s="4" t="str">
        <f>HYPERLINK("#'Perqs &amp; Allowances'!AC2","Passing grade is required under the tuition assistance program")</f>
        <v>Passing grade is required under the tuition assistance program</v>
      </c>
      <c r="U29" s="33"/>
    </row>
    <row r="30" spans="1:21" ht="24.95" customHeight="1" x14ac:dyDescent="0.25">
      <c r="A30" s="2" t="str">
        <f>HYPERLINK("#'Demographics'!AD1","Q2.13_20")</f>
        <v>Q2.13_20</v>
      </c>
      <c r="B30" s="4" t="str">
        <f>HYPERLINK("#'Demographics'!AD2","Major accomplishments in 2022: Vacation and holidays")</f>
        <v>Major accomplishments in 2022: Vacation and holidays</v>
      </c>
      <c r="C30" s="24" t="str">
        <f>HYPERLINK("#'Supp. Healthcare'!AD1","Q3.27")</f>
        <v>Q3.27</v>
      </c>
      <c r="D30" s="4" t="str">
        <f>HYPERLINK("#'Supp. Healthcare'!AD2","Components covered under the prescription drug plan")</f>
        <v>Components covered under the prescription drug plan</v>
      </c>
      <c r="E30" s="24" t="str">
        <f>HYPERLINK("#'Dental &amp; Vision'!AD1","Q4.22")</f>
        <v>Q4.22</v>
      </c>
      <c r="F30" s="4" t="str">
        <f>HYPERLINK("#'Dental &amp; Vision'!AD2","Benefits provided to dependents are the same as those provided to employees")</f>
        <v>Benefits provided to dependents are the same as those provided to employees</v>
      </c>
      <c r="G30" s="24" t="str">
        <f>HYPERLINK("#'Life, AD&amp;D, Critical Illness'!AD1","Q5.26")</f>
        <v>Q5.26</v>
      </c>
      <c r="H30" s="4" t="str">
        <f>HYPERLINK("#'Life, AD&amp;D, Critical Illness'!AD2","Monthly flat amount of the company contribution in CAD")</f>
        <v>Monthly flat amount of the company contribution in CAD</v>
      </c>
      <c r="I30" s="32" t="str">
        <f>HYPERLINK("#'Sickness &amp; Disability'!AD1","Q6.28")</f>
        <v>Q6.28</v>
      </c>
      <c r="J30" s="11" t="str">
        <f>HYPERLINK("#'Sickness &amp; Disability'!AD2","Percentage of pay provided during the supplemental short-term disability period")</f>
        <v>Percentage of pay provided during the supplemental short-term disability period</v>
      </c>
      <c r="K30" s="24" t="str">
        <f>HYPERLINK("#'Retirement'!AD1","Q7.30")</f>
        <v>Q7.30</v>
      </c>
      <c r="L30" s="4" t="str">
        <f>HYPERLINK("#'Retirement'!AD2","Step vesting schedule")</f>
        <v>Step vesting schedule</v>
      </c>
      <c r="M30" s="24" t="str">
        <f>HYPERLINK("#'Leaves'!AD1","Q8.25")</f>
        <v>Q8.25</v>
      </c>
      <c r="N30" s="4" t="str">
        <f>HYPERLINK("#'Leaves'!AD2","Annual maximum number of days an employee may sell or donate")</f>
        <v>Annual maximum number of days an employee may sell or donate</v>
      </c>
      <c r="O30" s="24" t="str">
        <f>HYPERLINK("#'Wellbeing'!AD1","Q9.18_8_TEXT")</f>
        <v>Q9.18_8_TEXT</v>
      </c>
      <c r="P30" s="4" t="str">
        <f>HYPERLINK("#'Wellbeing'!AD2","Other dependents eligible to participate in the wellbeing program")</f>
        <v>Other dependents eligible to participate in the wellbeing program</v>
      </c>
      <c r="Q30" s="24" t="str">
        <f>HYPERLINK("#'Transportation'!AD1","Q10.17_2_2")</f>
        <v>Q10.17_2_2</v>
      </c>
      <c r="R30" s="4" t="str">
        <f>HYPERLINK("#'Transportation'!AD2","Maximum annual car allowance value in CAD for - First line supervisors (Non-sales classification)")</f>
        <v>Maximum annual car allowance value in CAD for - First line supervisors (Non-sales classification)</v>
      </c>
      <c r="S30" s="24" t="str">
        <f>HYPERLINK("#'Perqs &amp; Allowances'!AD1","Q11.15")</f>
        <v>Q11.15</v>
      </c>
      <c r="T30" s="4" t="str">
        <f>HYPERLINK("#'Perqs &amp; Allowances'!AD2","Employees are required to stay with the company for a period of time after receiving tuition assistance")</f>
        <v>Employees are required to stay with the company for a period of time after receiving tuition assistance</v>
      </c>
      <c r="U30" s="33"/>
    </row>
    <row r="31" spans="1:21" ht="24.95" customHeight="1" x14ac:dyDescent="0.25">
      <c r="A31" s="2" t="str">
        <f>HYPERLINK("#'Demographics'!AE1","Q2.13_21")</f>
        <v>Q2.13_21</v>
      </c>
      <c r="B31" s="4" t="str">
        <f>HYPERLINK("#'Demographics'!AE2","Major accomplishments in 2022: Vendors or outsourcing services")</f>
        <v>Major accomplishments in 2022: Vendors or outsourcing services</v>
      </c>
      <c r="C31" s="24" t="str">
        <f>HYPERLINK("#'Supp. Healthcare'!AE1","Q3.28")</f>
        <v>Q3.28</v>
      </c>
      <c r="D31" s="4" t="str">
        <f>HYPERLINK("#'Supp. Healthcare'!AE2","Prescription drug plan coinsurance (amount the employee pays)")</f>
        <v>Prescription drug plan coinsurance (amount the employee pays)</v>
      </c>
      <c r="E31" s="24" t="str">
        <f>HYPERLINK("#'Dental &amp; Vision'!AE1","Q4.23")</f>
        <v>Q4.23</v>
      </c>
      <c r="F31" s="4" t="str">
        <f>HYPERLINK("#'Dental &amp; Vision'!AE2","How benefits provided to dependents differ from those provided to employees")</f>
        <v>How benefits provided to dependents differ from those provided to employees</v>
      </c>
      <c r="G31" s="24" t="str">
        <f>HYPERLINK("#'Life, AD&amp;D, Critical Illness'!AE1","Q5.27")</f>
        <v>Q5.27</v>
      </c>
      <c r="H31" s="4" t="str">
        <f>HYPERLINK("#'Life, AD&amp;D, Critical Illness'!AE2","How cost sharing is determined")</f>
        <v>How cost sharing is determined</v>
      </c>
      <c r="I31" s="32" t="str">
        <f>HYPERLINK("#'Sickness &amp; Disability'!AE1","Q6.29")</f>
        <v>Q6.29</v>
      </c>
      <c r="J31" s="36" t="str">
        <f>HYPERLINK("#'Sickness &amp; Disability'!AE2","Supplemental short-term disability benefits formula")</f>
        <v>Supplemental short-term disability benefits formula</v>
      </c>
      <c r="K31" s="24" t="str">
        <f>HYPERLINK("#'Retirement'!AE1","Q7.31")</f>
        <v>Q7.31</v>
      </c>
      <c r="L31" s="4" t="str">
        <f>HYPERLINK("#'Retirement'!AE2","Other vesting schedule")</f>
        <v>Other vesting schedule</v>
      </c>
      <c r="M31" s="24" t="str">
        <f>HYPERLINK("#'Leaves'!AE1","Q8.27")</f>
        <v>Q8.27</v>
      </c>
      <c r="N31" s="4" t="str">
        <f>HYPERLINK("#'Leaves'!AE2","Have a waiting period for participation in supplemental maternity leave for new employees")</f>
        <v>Have a waiting period for participation in supplemental maternity leave for new employees</v>
      </c>
      <c r="O31" s="24" t="str">
        <f>HYPERLINK("#'Wellbeing'!AE1","Q9.20")</f>
        <v>Q9.20</v>
      </c>
      <c r="P31" s="4" t="str">
        <f>HYPERLINK("#'Wellbeing'!AE2","Policies and physical resources in place to support health and wellbeing")</f>
        <v>Policies and physical resources in place to support health and wellbeing</v>
      </c>
      <c r="Q31" s="24" t="str">
        <f>HYPERLINK("#'Transportation'!AE1","Q10.17_3_1")</f>
        <v>Q10.17_3_1</v>
      </c>
      <c r="R31" s="4" t="str">
        <f>HYPERLINK("#'Transportation'!AE2","Minimum annual car allowance value in CAD for - Managers (Non-sales classification)")</f>
        <v>Minimum annual car allowance value in CAD for - Managers (Non-sales classification)</v>
      </c>
      <c r="S31" s="24" t="str">
        <f>HYPERLINK("#'Perqs &amp; Allowances'!AE1","Q11.16")</f>
        <v>Q11.16</v>
      </c>
      <c r="T31" s="4" t="str">
        <f>HYPERLINK("#'Perqs &amp; Allowances'!AE2","Length of time that employees are required to stay with the company after receiving tuition assistance")</f>
        <v>Length of time that employees are required to stay with the company after receiving tuition assistance</v>
      </c>
      <c r="U31" s="33"/>
    </row>
    <row r="32" spans="1:21" ht="24.95" customHeight="1" x14ac:dyDescent="0.25">
      <c r="A32" s="2" t="str">
        <f>HYPERLINK("#'Demographics'!AF1","Q2.13_22")</f>
        <v>Q2.13_22</v>
      </c>
      <c r="B32" s="4" t="str">
        <f>HYPERLINK("#'Demographics'!AF2","Major accomplishments in 2022: Voluntary benefits")</f>
        <v>Major accomplishments in 2022: Voluntary benefits</v>
      </c>
      <c r="C32" s="24" t="str">
        <f>HYPERLINK("#'Supp. Healthcare'!AF1","Q3.29")</f>
        <v>Q3.29</v>
      </c>
      <c r="D32" s="4" t="str">
        <f>HYPERLINK("#'Supp. Healthcare'!AF2","Prescription drug plan deductible in CAD")</f>
        <v>Prescription drug plan deductible in CAD</v>
      </c>
      <c r="E32" s="24" t="str">
        <f>HYPERLINK("#'Dental &amp; Vision'!AF1","Q4.24")</f>
        <v>Q4.24</v>
      </c>
      <c r="F32" s="4" t="str">
        <f>HYPERLINK("#'Dental &amp; Vision'!AF2","How the benefit is paid for employee cover only (not dependents)")</f>
        <v>How the benefit is paid for employee cover only (not dependents)</v>
      </c>
      <c r="G32" s="24" t="str">
        <f>HYPERLINK("#'Life, AD&amp;D, Critical Illness'!AF1","Q5.29")</f>
        <v>Q5.29</v>
      </c>
      <c r="H32" s="4" t="str">
        <f>HYPERLINK("#'Life, AD&amp;D, Critical Illness'!AF2","Approach to insuring life insurance coverage")</f>
        <v>Approach to insuring life insurance coverage</v>
      </c>
      <c r="I32" s="32" t="str">
        <f>HYPERLINK("#'Sickness &amp; Disability'!AF1","Q6.30")</f>
        <v>Q6.30</v>
      </c>
      <c r="J32" s="36" t="str">
        <f>HYPERLINK("#'Sickness &amp; Disability'!AF2","Supplemental short-term disability benefit is capped")</f>
        <v>Supplemental short-term disability benefit is capped</v>
      </c>
      <c r="K32" s="24" t="str">
        <f>HYPERLINK("#'Retirement'!AF1","Q7.32")</f>
        <v>Q7.32</v>
      </c>
      <c r="L32" s="4" t="str">
        <f>HYPERLINK("#'Retirement'!AF2","Number of investment fund choices employees have")</f>
        <v>Number of investment fund choices employees have</v>
      </c>
      <c r="M32" s="24" t="str">
        <f>HYPERLINK("#'Leaves'!AF1","Q8.28")</f>
        <v>Q8.28</v>
      </c>
      <c r="N32" s="4" t="str">
        <f>HYPERLINK("#'Leaves'!AF2","Waiting period (days) for all employees")</f>
        <v>Waiting period (days) for all employees</v>
      </c>
      <c r="O32" s="24" t="str">
        <f>HYPERLINK("#'Wellbeing'!AF1","Q9.21")</f>
        <v>Q9.21</v>
      </c>
      <c r="P32" s="4" t="str">
        <f>HYPERLINK("#'Wellbeing'!AF2","Other policies and physical resources in place to support health and wellbeing")</f>
        <v>Other policies and physical resources in place to support health and wellbeing</v>
      </c>
      <c r="Q32" s="24" t="str">
        <f>HYPERLINK("#'Transportation'!AF1","Q10.17_3_2")</f>
        <v>Q10.17_3_2</v>
      </c>
      <c r="R32" s="4" t="str">
        <f>HYPERLINK("#'Transportation'!AF2","Maximum annual car allowance value in CAD for - Managers (Non-sales classification)")</f>
        <v>Maximum annual car allowance value in CAD for - Managers (Non-sales classification)</v>
      </c>
      <c r="S32" s="24" t="str">
        <f>HYPERLINK("#'Perqs &amp; Allowances'!AF1","Q11.16_3_TEXT")</f>
        <v>Q11.16_3_TEXT</v>
      </c>
      <c r="T32" s="4" t="str">
        <f>HYPERLINK("#'Perqs &amp; Allowances'!AF2","Other length of time employees are required to stay with the company after receiving tuition assistance")</f>
        <v>Other length of time employees are required to stay with the company after receiving tuition assistance</v>
      </c>
      <c r="U32" s="33"/>
    </row>
    <row r="33" spans="1:21" ht="24.95" customHeight="1" x14ac:dyDescent="0.25">
      <c r="A33" s="2" t="str">
        <f>HYPERLINK("#'Demographics'!AG1","Q2.13_23")</f>
        <v>Q2.13_23</v>
      </c>
      <c r="B33" s="4" t="str">
        <f>HYPERLINK("#'Demographics'!AG2","Major accomplishments in 2022: Wellness")</f>
        <v>Major accomplishments in 2022: Wellness</v>
      </c>
      <c r="C33" s="24" t="str">
        <f>HYPERLINK("#'Supp. Healthcare'!AG1","Q3.30")</f>
        <v>Q3.30</v>
      </c>
      <c r="D33" s="4" t="str">
        <f>HYPERLINK("#'Supp. Healthcare'!AG2","Prescription drug plan has dispensing fee caps")</f>
        <v>Prescription drug plan has dispensing fee caps</v>
      </c>
      <c r="E33" s="24" t="str">
        <f>HYPERLINK("#'Dental &amp; Vision'!AG1","Q4.25")</f>
        <v>Q4.25</v>
      </c>
      <c r="F33" s="4" t="str">
        <f>HYPERLINK("#'Dental &amp; Vision'!AG2","How employee cost sharing is determined")</f>
        <v>How employee cost sharing is determined</v>
      </c>
      <c r="G33" s="24" t="str">
        <f>HYPERLINK("#'Life, AD&amp;D, Critical Illness'!AG1","Q5.29_5_TEXT")</f>
        <v>Q5.29_5_TEXT</v>
      </c>
      <c r="H33" s="4" t="str">
        <f>HYPERLINK("#'Life, AD&amp;D, Critical Illness'!AG2","Other way the life insurance coverage is insured")</f>
        <v>Other way the life insurance coverage is insured</v>
      </c>
      <c r="I33" s="32" t="str">
        <f>HYPERLINK("#'Sickness &amp; Disability'!AG1","Q6.31")</f>
        <v>Q6.31</v>
      </c>
      <c r="J33" s="36" t="str">
        <f>HYPERLINK("#'Sickness &amp; Disability'!AG2","Weekly maximum benefit per employee in CAD")</f>
        <v>Weekly maximum benefit per employee in CAD</v>
      </c>
      <c r="K33" s="24" t="str">
        <f>HYPERLINK("#'Retirement'!AG1","Q7.33")</f>
        <v>Q7.33</v>
      </c>
      <c r="L33" s="4" t="str">
        <f>HYPERLINK("#'Retirement'!AG2","Defined contribution plan default investment")</f>
        <v>Defined contribution plan default investment</v>
      </c>
      <c r="M33" s="24" t="str">
        <f>HYPERLINK("#'Leaves'!AG1","Q8.29")</f>
        <v>Q8.29</v>
      </c>
      <c r="N33" s="4" t="str">
        <f>HYPERLINK("#'Leaves'!AG2","Waiting period (days) for each employee group")</f>
        <v>Waiting period (days) for each employee group</v>
      </c>
      <c r="O33" s="24" t="str">
        <f>HYPERLINK("#'Wellbeing'!AG1","Q9.22")</f>
        <v>Q9.22</v>
      </c>
      <c r="P33" s="4" t="str">
        <f>HYPERLINK("#'Wellbeing'!AG2","Programs available to employees in addition to standard benefits")</f>
        <v>Programs available to employees in addition to standard benefits</v>
      </c>
      <c r="Q33" s="24" t="str">
        <f>HYPERLINK("#'Transportation'!AG1","Q10.17_4_1")</f>
        <v>Q10.17_4_1</v>
      </c>
      <c r="R33" s="4" t="str">
        <f>HYPERLINK("#'Transportation'!AG2","Minimum annual car allowance value in CAD for - Non-management (Non-sales classification)")</f>
        <v>Minimum annual car allowance value in CAD for - Non-management (Non-sales classification)</v>
      </c>
      <c r="S33" s="24" t="str">
        <f>HYPERLINK("#'Perqs &amp; Allowances'!AG1","Q11.17")</f>
        <v>Q11.17</v>
      </c>
      <c r="T33" s="4" t="str">
        <f>HYPERLINK("#'Perqs &amp; Allowances'!AG2","Annual maximum tuition assistance, excluding MBAs, in CAD")</f>
        <v>Annual maximum tuition assistance, excluding MBAs, in CAD</v>
      </c>
      <c r="U33" s="33"/>
    </row>
    <row r="34" spans="1:21" ht="24.95" customHeight="1" x14ac:dyDescent="0.25">
      <c r="A34" s="2" t="str">
        <f>HYPERLINK("#'Demographics'!AH1","Q2.14")</f>
        <v>Q2.14</v>
      </c>
      <c r="B34" s="4" t="str">
        <f>HYPERLINK("#'Demographics'!AH2","Top three health risks for company in Canada")</f>
        <v>Top three health risks for company in Canada</v>
      </c>
      <c r="C34" s="24" t="str">
        <f>HYPERLINK("#'Supp. Healthcare'!AH1","Q3.31")</f>
        <v>Q3.31</v>
      </c>
      <c r="D34" s="4" t="str">
        <f>HYPERLINK("#'Supp. Healthcare'!AH2","Dispensing fee cap in CAD")</f>
        <v>Dispensing fee cap in CAD</v>
      </c>
      <c r="E34" s="24" t="str">
        <f>HYPERLINK("#'Dental &amp; Vision'!AH1","Q4.26")</f>
        <v>Q4.26</v>
      </c>
      <c r="F34" s="4" t="str">
        <f>HYPERLINK("#'Dental &amp; Vision'!AH2","Monthly flat amount the employee is required to pay in CAD")</f>
        <v>Monthly flat amount the employee is required to pay in CAD</v>
      </c>
      <c r="G34" s="24" t="str">
        <f>HYPERLINK("#'Life, AD&amp;D, Critical Illness'!AH1","Q5.30")</f>
        <v>Q5.30</v>
      </c>
      <c r="H34" s="4" t="str">
        <f>HYPERLINK("#'Life, AD&amp;D, Critical Illness'!AH2","Vendor for the most prevalent life insurance plan")</f>
        <v>Vendor for the most prevalent life insurance plan</v>
      </c>
      <c r="I34" s="32" t="str">
        <f>HYPERLINK("#'Sickness &amp; Disability'!AH1","Q6.32")</f>
        <v>Q6.32</v>
      </c>
      <c r="J34" s="36" t="str">
        <f>HYPERLINK("#'Sickness &amp; Disability'!AH2","Cost sharing for the supplemental short-term disability plan ")</f>
        <v xml:space="preserve">Cost sharing for the supplemental short-term disability plan </v>
      </c>
      <c r="K34" s="24" t="str">
        <f>HYPERLINK("#'Retirement'!AH1","Q7.33_6_TEXT")</f>
        <v>Q7.33_6_TEXT</v>
      </c>
      <c r="L34" s="4" t="str">
        <f>HYPERLINK("#'Retirement'!AH2","Other defined contribution plan default investment")</f>
        <v>Other defined contribution plan default investment</v>
      </c>
      <c r="M34" s="24" t="str">
        <f>HYPERLINK("#'Leaves'!AH1","Q8.30")</f>
        <v>Q8.30</v>
      </c>
      <c r="N34" s="4" t="str">
        <f>HYPERLINK("#'Leaves'!AH2","How the supplemental maternity leave is paid")</f>
        <v>How the supplemental maternity leave is paid</v>
      </c>
      <c r="O34" s="24" t="str">
        <f>HYPERLINK("#'Wellbeing'!AH1","Q9.23")</f>
        <v>Q9.23</v>
      </c>
      <c r="P34" s="4" t="str">
        <f>HYPERLINK("#'Wellbeing'!AH2","Other programs available to employees in addition to standard benefits")</f>
        <v>Other programs available to employees in addition to standard benefits</v>
      </c>
      <c r="Q34" s="24" t="str">
        <f>HYPERLINK("#'Transportation'!AH1","Q10.17_4_2")</f>
        <v>Q10.17_4_2</v>
      </c>
      <c r="R34" s="4" t="str">
        <f>HYPERLINK("#'Transportation'!AH2","Maximum annual car allowance value in CAD for - Non-management (Non-sales classification)")</f>
        <v>Maximum annual car allowance value in CAD for - Non-management (Non-sales classification)</v>
      </c>
      <c r="S34" s="24" t="str">
        <f>HYPERLINK("#'Perqs &amp; Allowances'!AH1","Q11.18")</f>
        <v>Q11.18</v>
      </c>
      <c r="T34" s="4" t="str">
        <f>HYPERLINK("#'Perqs &amp; Allowances'!AH2","Annual maximum tuition assistance for MBAs in CAD")</f>
        <v>Annual maximum tuition assistance for MBAs in CAD</v>
      </c>
      <c r="U34" s="33"/>
    </row>
    <row r="35" spans="1:21" ht="24.95" customHeight="1" thickBot="1" x14ac:dyDescent="0.3">
      <c r="A35" s="25" t="str">
        <f>HYPERLINK("#'Demographics'!AI1","Q2.14_13_TEXT")</f>
        <v>Q2.14_13_TEXT</v>
      </c>
      <c r="B35" s="26" t="str">
        <f>HYPERLINK("#'Demographics'!AI2","Other health risk for company in Canada")</f>
        <v>Other health risk for company in Canada</v>
      </c>
      <c r="C35" s="24" t="str">
        <f>HYPERLINK("#'Supp. Healthcare'!AI1","Q3.32")</f>
        <v>Q3.32</v>
      </c>
      <c r="D35" s="4" t="str">
        <f>HYPERLINK("#'Supp. Healthcare'!AI2","Prescription drug plan has a generic substitution clause")</f>
        <v>Prescription drug plan has a generic substitution clause</v>
      </c>
      <c r="E35" s="24" t="str">
        <f>HYPERLINK("#'Dental &amp; Vision'!AI1","Q4.27")</f>
        <v>Q4.27</v>
      </c>
      <c r="F35" s="4" t="str">
        <f>HYPERLINK("#'Dental &amp; Vision'!AI2","Percentage the employee is required to pay")</f>
        <v>Percentage the employee is required to pay</v>
      </c>
      <c r="G35" s="24" t="str">
        <f>HYPERLINK("#'Life, AD&amp;D, Critical Illness'!AI1","Q5.30_9_TEXT")</f>
        <v>Q5.30_9_TEXT</v>
      </c>
      <c r="H35" s="4" t="str">
        <f>HYPERLINK("#'Life, AD&amp;D, Critical Illness'!AI2","Other vendor for the most prevalent life insurance plan")</f>
        <v>Other vendor for the most prevalent life insurance plan</v>
      </c>
      <c r="I35" s="32" t="str">
        <f>HYPERLINK("#'Sickness &amp; Disability'!AI1","Q6.33")</f>
        <v>Q6.33</v>
      </c>
      <c r="J35" s="36" t="str">
        <f>HYPERLINK("#'Sickness &amp; Disability'!AI2","How employee cost sharing is determined")</f>
        <v>How employee cost sharing is determined</v>
      </c>
      <c r="K35" s="24" t="str">
        <f>HYPERLINK("#'Retirement'!AI1","Q7.34")</f>
        <v>Q7.34</v>
      </c>
      <c r="L35" s="4" t="str">
        <f>HYPERLINK("#'Retirement'!AI2","Percentage of employees who are invested in the company's default investment")</f>
        <v>Percentage of employees who are invested in the company's default investment</v>
      </c>
      <c r="M35" s="24" t="str">
        <f>HYPERLINK("#'Leaves'!AI1","Q8.31")</f>
        <v>Q8.31</v>
      </c>
      <c r="N35" s="4" t="str">
        <f>HYPERLINK("#'Leaves'!AI2","Number of weeks full pay for maternity leave is maintained")</f>
        <v>Number of weeks full pay for maternity leave is maintained</v>
      </c>
      <c r="O35" s="24" t="str">
        <f>HYPERLINK("#'Wellbeing'!AI1","Q9.24")</f>
        <v>Q9.24</v>
      </c>
      <c r="P35" s="4" t="str">
        <f>HYPERLINK("#'Wellbeing'!AI2","Maximum wellness reimbursement/stipend provided per employee per year in CAD")</f>
        <v>Maximum wellness reimbursement/stipend provided per employee per year in CAD</v>
      </c>
      <c r="Q35" s="24" t="str">
        <f>HYPERLINK("#'Transportation'!AI1","Q10.17_5_1")</f>
        <v>Q10.17_5_1</v>
      </c>
      <c r="R35" s="4" t="str">
        <f>HYPERLINK("#'Transportation'!AI2","Minimum annual car allowance value in CAD for - Top executives (Non-sales classification)")</f>
        <v>Minimum annual car allowance value in CAD for - Top executives (Non-sales classification)</v>
      </c>
      <c r="S35" s="24" t="str">
        <f>HYPERLINK("#'Perqs &amp; Allowances'!AI1","Q11.19")</f>
        <v>Q11.19</v>
      </c>
      <c r="T35" s="4" t="str">
        <f>HYPERLINK("#'Perqs &amp; Allowances'!AI2","Service milestones at which service awards are given")</f>
        <v>Service milestones at which service awards are given</v>
      </c>
      <c r="U35" s="33"/>
    </row>
    <row r="36" spans="1:21" ht="24.95" customHeight="1" x14ac:dyDescent="0.25">
      <c r="A36" s="27"/>
      <c r="B36" s="28"/>
      <c r="C36" s="24" t="str">
        <f>HYPERLINK("#'Supp. Healthcare'!AJ1","Q3.33")</f>
        <v>Q3.33</v>
      </c>
      <c r="D36" s="4" t="str">
        <f>HYPERLINK("#'Supp. Healthcare'!AJ2","Prescription drug plan requires preauthorization for high-cost prescription drugs")</f>
        <v>Prescription drug plan requires preauthorization for high-cost prescription drugs</v>
      </c>
      <c r="E36" s="24" t="str">
        <f>HYPERLINK("#'Dental &amp; Vision'!AJ1","Q4.28")</f>
        <v>Q4.28</v>
      </c>
      <c r="F36" s="4" t="str">
        <f>HYPERLINK("#'Dental &amp; Vision'!AJ2","Monthly flat amount of the company contribution in CAD")</f>
        <v>Monthly flat amount of the company contribution in CAD</v>
      </c>
      <c r="G36" s="24" t="str">
        <f>HYPERLINK("#'Life, AD&amp;D, Critical Illness'!AJ1","Q5.32")</f>
        <v>Q5.32</v>
      </c>
      <c r="H36" s="4" t="str">
        <f>HYPERLINK("#'Life, AD&amp;D, Critical Illness'!AJ2","Provide an AD&amp;D benefit")</f>
        <v>Provide an AD&amp;D benefit</v>
      </c>
      <c r="I36" s="32" t="str">
        <f>HYPERLINK("#'Sickness &amp; Disability'!AJ1","Q6.34")</f>
        <v>Q6.34</v>
      </c>
      <c r="J36" s="36" t="str">
        <f>HYPERLINK("#'Sickness &amp; Disability'!AJ2","Monthly flat amount the employee is required to pay in CAD")</f>
        <v>Monthly flat amount the employee is required to pay in CAD</v>
      </c>
      <c r="K36" s="24" t="str">
        <f>HYPERLINK("#'Retirement'!AJ1","Q7.35")</f>
        <v>Q7.35</v>
      </c>
      <c r="L36" s="4" t="str">
        <f>HYPERLINK("#'Retirement'!AJ2","Vendor for the most prevalent defined contribution plan")</f>
        <v>Vendor for the most prevalent defined contribution plan</v>
      </c>
      <c r="M36" s="24" t="str">
        <f>HYPERLINK("#'Leaves'!AJ1","Q8.32")</f>
        <v>Q8.32</v>
      </c>
      <c r="N36" s="4" t="str">
        <f>HYPERLINK("#'Leaves'!AJ2","Percentage of salary maintained during maternity leave, including Employment Insurance/Quebec Parental Insurance Plan (EI/QPIP) benefits")</f>
        <v>Percentage of salary maintained during maternity leave, including Employment Insurance/Quebec Parental Insurance Plan (EI/QPIP) benefits</v>
      </c>
      <c r="O36" s="24" t="str">
        <f>HYPERLINK("#'Wellbeing'!AJ1","Q9.25")</f>
        <v>Q9.25</v>
      </c>
      <c r="P36" s="4" t="str">
        <f>HYPERLINK("#'Wellbeing'!AJ2","Amount the company contributes to the LSA per employee per year in CAD")</f>
        <v>Amount the company contributes to the LSA per employee per year in CAD</v>
      </c>
      <c r="Q36" s="24" t="str">
        <f>HYPERLINK("#'Transportation'!AJ1","Q10.17_5_2")</f>
        <v>Q10.17_5_2</v>
      </c>
      <c r="R36" s="4" t="str">
        <f>HYPERLINK("#'Transportation'!AJ2","Maximum annual car allowance value in CAD for - Top executives (Non-sales classification)")</f>
        <v>Maximum annual car allowance value in CAD for - Top executives (Non-sales classification)</v>
      </c>
      <c r="S36" s="24" t="str">
        <f>HYPERLINK("#'Perqs &amp; Allowances'!AJ1","Q11.19_9_TEXT")</f>
        <v>Q11.19_9_TEXT</v>
      </c>
      <c r="T36" s="4" t="str">
        <f>HYPERLINK("#'Perqs &amp; Allowances'!AJ2","Other service milestones at which service awards are given")</f>
        <v>Other service milestones at which service awards are given</v>
      </c>
      <c r="U36" s="33"/>
    </row>
    <row r="37" spans="1:21" ht="24.95" customHeight="1" x14ac:dyDescent="0.25">
      <c r="C37" s="24" t="str">
        <f>HYPERLINK("#'Supp. Healthcare'!AK1","Q3.33_4_TEXT")</f>
        <v>Q3.33_4_TEXT</v>
      </c>
      <c r="D37" s="4" t="str">
        <f>HYPERLINK("#'Supp. Healthcare'!AK2","Other prescription drug plan preauthorization requirement for high-cost prescription drugs")</f>
        <v>Other prescription drug plan preauthorization requirement for high-cost prescription drugs</v>
      </c>
      <c r="E37" s="24" t="str">
        <f>HYPERLINK("#'Dental &amp; Vision'!AK1","Q4.29")</f>
        <v>Q4.29</v>
      </c>
      <c r="F37" s="4" t="str">
        <f>HYPERLINK("#'Dental &amp; Vision'!AK2","Other approach used to determine cost sharing")</f>
        <v>Other approach used to determine cost sharing</v>
      </c>
      <c r="G37" s="24" t="str">
        <f>HYPERLINK("#'Life, AD&amp;D, Critical Illness'!AK1","Q5.33")</f>
        <v>Q5.33</v>
      </c>
      <c r="H37" s="4" t="str">
        <f>HYPERLINK("#'Life, AD&amp;D, Critical Illness'!AK2","Who is covered under the company-provided basic AD&amp;D benefit (excluding any optional employee-paid top-up options)")</f>
        <v>Who is covered under the company-provided basic AD&amp;D benefit (excluding any optional employee-paid top-up options)</v>
      </c>
      <c r="I37" s="32" t="str">
        <f>HYPERLINK("#'Sickness &amp; Disability'!AK1","Q6.35")</f>
        <v>Q6.35</v>
      </c>
      <c r="J37" s="36" t="str">
        <f>HYPERLINK("#'Sickness &amp; Disability'!AK2","Percentage the employee is required to pay")</f>
        <v>Percentage the employee is required to pay</v>
      </c>
      <c r="K37" s="24" t="str">
        <f>HYPERLINK("#'Retirement'!AK1","Q7.35_9_TEXT")</f>
        <v>Q7.35_9_TEXT</v>
      </c>
      <c r="L37" s="4" t="str">
        <f>HYPERLINK("#'Retirement'!AK2","Other vendor for the most prevalent defined contribution plan")</f>
        <v>Other vendor for the most prevalent defined contribution plan</v>
      </c>
      <c r="M37" s="24" t="str">
        <f>HYPERLINK("#'Leaves'!AK1","Q8.33")</f>
        <v>Q8.33</v>
      </c>
      <c r="N37" s="4" t="str">
        <f>HYPERLINK("#'Leaves'!AK2","Number of weeks of partial pay above statutory requirements for maternity leave is maintained")</f>
        <v>Number of weeks of partial pay above statutory requirements for maternity leave is maintained</v>
      </c>
      <c r="O37" s="24" t="str">
        <f>HYPERLINK("#'Wellbeing'!AK1","Q9.26")</f>
        <v>Q9.26</v>
      </c>
      <c r="P37" s="4" t="str">
        <f>HYPERLINK("#'Wellbeing'!AK2","Gym membership benefit has a maximum amount")</f>
        <v>Gym membership benefit has a maximum amount</v>
      </c>
      <c r="Q37" s="24" t="str">
        <f>HYPERLINK("#'Transportation'!AK1","Q10.17_6_1")</f>
        <v>Q10.17_6_1</v>
      </c>
      <c r="R37" s="4" t="str">
        <f>HYPERLINK("#'Transportation'!AK2","Minimum annual car allowance value in CAD for - Other (Non-sales classification)")</f>
        <v>Minimum annual car allowance value in CAD for - Other (Non-sales classification)</v>
      </c>
      <c r="S37" s="24" t="str">
        <f>HYPERLINK("#'Perqs &amp; Allowances'!AK1","Q11.20")</f>
        <v>Q11.20</v>
      </c>
      <c r="T37" s="4" t="str">
        <f>HYPERLINK("#'Perqs &amp; Allowances'!AK2","Offered in recognition of service milestones")</f>
        <v>Offered in recognition of service milestones</v>
      </c>
      <c r="U37" s="33"/>
    </row>
    <row r="38" spans="1:21" ht="24.95" customHeight="1" x14ac:dyDescent="0.25">
      <c r="C38" s="24" t="str">
        <f>HYPERLINK("#'Supp. Healthcare'!AL1","Q3.34")</f>
        <v>Q3.34</v>
      </c>
      <c r="D38" s="4" t="str">
        <f>HYPERLINK("#'Supp. Healthcare'!AL2","Plan caps the hearing aid benefits")</f>
        <v>Plan caps the hearing aid benefits</v>
      </c>
      <c r="E38" s="24" t="str">
        <f>HYPERLINK("#'Dental &amp; Vision'!AL1","Q4.30_1")</f>
        <v>Q4.30_1</v>
      </c>
      <c r="F38" s="4" t="str">
        <f>HYPERLINK("#'Dental &amp; Vision'!AL2","How the dental benefit is paid for dependents - Spouse")</f>
        <v>How the dental benefit is paid for dependents - Spouse</v>
      </c>
      <c r="G38" s="24" t="str">
        <f>HYPERLINK("#'Life, AD&amp;D, Critical Illness'!AL1","Q5.34")</f>
        <v>Q5.34</v>
      </c>
      <c r="H38" s="4" t="str">
        <f>HYPERLINK("#'Life, AD&amp;D, Critical Illness'!AL2","Dependents eligible to participate in the company-provided basic AD&amp;D plan")</f>
        <v>Dependents eligible to participate in the company-provided basic AD&amp;D plan</v>
      </c>
      <c r="I38" s="32" t="str">
        <f>HYPERLINK("#'Sickness &amp; Disability'!AL1","Q6.36")</f>
        <v>Q6.36</v>
      </c>
      <c r="J38" s="36" t="str">
        <f>HYPERLINK("#'Sickness &amp; Disability'!AL2","Monthly flat amount of the company contribution in CAD")</f>
        <v>Monthly flat amount of the company contribution in CAD</v>
      </c>
      <c r="K38" s="24" t="str">
        <f>HYPERLINK("#'Retirement'!AL1","Q7.37")</f>
        <v>Q7.37</v>
      </c>
      <c r="L38" s="4" t="str">
        <f>HYPERLINK("#'Retirement'!AL2","DB Plan - Types of compensation used in calculating the benefit")</f>
        <v>DB Plan - Types of compensation used in calculating the benefit</v>
      </c>
      <c r="M38" s="24" t="str">
        <f>HYPERLINK("#'Leaves'!AL1","Q8.34")</f>
        <v>Q8.34</v>
      </c>
      <c r="N38" s="4" t="str">
        <f>HYPERLINK("#'Leaves'!AL2","Number of additional unpaid weeks of maternity leave provided")</f>
        <v>Number of additional unpaid weeks of maternity leave provided</v>
      </c>
      <c r="O38" s="24" t="str">
        <f>HYPERLINK("#'Wellbeing'!AL1","Q9.27")</f>
        <v>Q9.27</v>
      </c>
      <c r="P38" s="4" t="str">
        <f>HYPERLINK("#'Wellbeing'!AL2","Maximum gym membership benefit per employee per year in CAD")</f>
        <v>Maximum gym membership benefit per employee per year in CAD</v>
      </c>
      <c r="Q38" s="24" t="str">
        <f>HYPERLINK("#'Transportation'!AL1","Q10.17_6_2")</f>
        <v>Q10.17_6_2</v>
      </c>
      <c r="R38" s="4" t="str">
        <f>HYPERLINK("#'Transportation'!AL2","Maximum annual car allowance value in CAD for - Other (Non-sales classification)")</f>
        <v>Maximum annual car allowance value in CAD for - Other (Non-sales classification)</v>
      </c>
      <c r="S38" s="24" t="str">
        <f>HYPERLINK("#'Perqs &amp; Allowances'!AL1","Q11.21")</f>
        <v>Q11.21</v>
      </c>
      <c r="T38" s="4" t="str">
        <f>HYPERLINK("#'Perqs &amp; Allowances'!AL2","Amount of cash in CAD provided for each milestone")</f>
        <v>Amount of cash in CAD provided for each milestone</v>
      </c>
      <c r="U38" s="33"/>
    </row>
    <row r="39" spans="1:21" ht="24.95" customHeight="1" x14ac:dyDescent="0.25">
      <c r="C39" s="24" t="str">
        <f>HYPERLINK("#'Supp. Healthcare'!AM1","Q3.35")</f>
        <v>Q3.35</v>
      </c>
      <c r="D39" s="4" t="str">
        <f>HYPERLINK("#'Supp. Healthcare'!AM2","How the hearing aid benefits are capped")</f>
        <v>How the hearing aid benefits are capped</v>
      </c>
      <c r="E39" s="24" t="str">
        <f>HYPERLINK("#'Dental &amp; Vision'!AM1","Q4.30_2")</f>
        <v>Q4.30_2</v>
      </c>
      <c r="F39" s="4" t="str">
        <f>HYPERLINK("#'Dental &amp; Vision'!AM2","How the dental benefit is paid for dependents - Common-law partner")</f>
        <v>How the dental benefit is paid for dependents - Common-law partner</v>
      </c>
      <c r="G39" s="24" t="str">
        <f>HYPERLINK("#'Life, AD&amp;D, Critical Illness'!AM1","Q5.34_7_TEXT")</f>
        <v>Q5.34_7_TEXT</v>
      </c>
      <c r="H39" s="4" t="str">
        <f>HYPERLINK("#'Life, AD&amp;D, Critical Illness'!AM2","Other dependents eligible to participate in the company-provided basic AD&amp;D plan")</f>
        <v>Other dependents eligible to participate in the company-provided basic AD&amp;D plan</v>
      </c>
      <c r="I39" s="32" t="str">
        <f>HYPERLINK("#'Sickness &amp; Disability'!AM1","Q6.37")</f>
        <v>Q6.37</v>
      </c>
      <c r="J39" s="36" t="str">
        <f>HYPERLINK("#'Sickness &amp; Disability'!AM2","How cost sharing is determined")</f>
        <v>How cost sharing is determined</v>
      </c>
      <c r="K39" s="24" t="str">
        <f>HYPERLINK("#'Retirement'!AM1","Q7.37_8_TEXT")</f>
        <v>Q7.37_8_TEXT</v>
      </c>
      <c r="L39" s="4" t="str">
        <f>HYPERLINK("#'Retirement'!AM2","DB Plan - Other types of compensation used in calculating the benefit")</f>
        <v>DB Plan - Other types of compensation used in calculating the benefit</v>
      </c>
      <c r="M39" s="24" t="str">
        <f>HYPERLINK("#'Leaves'!AM1","Q8.36")</f>
        <v>Q8.36</v>
      </c>
      <c r="N39" s="4" t="str">
        <f>HYPERLINK("#'Leaves'!AM2","Have a waiting period for participation in supplemental non-birth parent leave for new employees")</f>
        <v>Have a waiting period for participation in supplemental non-birth parent leave for new employees</v>
      </c>
      <c r="O39" s="24" t="str">
        <f>HYPERLINK("#'Wellbeing'!AM1","Q9.29")</f>
        <v>Q9.29</v>
      </c>
      <c r="P39" s="4" t="str">
        <f>HYPERLINK("#'Wellbeing'!AM2","Have an employee assistance program (EAP)")</f>
        <v>Have an employee assistance program (EAP)</v>
      </c>
      <c r="Q39" s="24" t="str">
        <f>HYPERLINK("#'Transportation'!AM1","Q10.18_1_1")</f>
        <v>Q10.18_1_1</v>
      </c>
      <c r="R39" s="4" t="str">
        <f>HYPERLINK("#'Transportation'!AM2","Minimum annual car allowance value in CAD for - Directors (Sales classification)")</f>
        <v>Minimum annual car allowance value in CAD for - Directors (Sales classification)</v>
      </c>
      <c r="S39" s="24" t="str">
        <f>HYPERLINK("#'Perqs &amp; Allowances'!AM1","Q11.22")</f>
        <v>Q11.22</v>
      </c>
      <c r="T39" s="4" t="str">
        <f>HYPERLINK("#'Perqs &amp; Allowances'!AM2","Additional time off (days) provided for each milestone")</f>
        <v>Additional time off (days) provided for each milestone</v>
      </c>
      <c r="U39" s="33"/>
    </row>
    <row r="40" spans="1:21" ht="24.95" customHeight="1" x14ac:dyDescent="0.25">
      <c r="C40" s="24" t="str">
        <f>HYPERLINK("#'Supp. Healthcare'!AN1","Q3.36")</f>
        <v>Q3.36</v>
      </c>
      <c r="D40" s="4" t="str">
        <f>HYPERLINK("#'Supp. Healthcare'!AN2","Type of supplemental healthcare benefits provided to dependents are the same as those provided to employees")</f>
        <v>Type of supplemental healthcare benefits provided to dependents are the same as those provided to employees</v>
      </c>
      <c r="E40" s="24" t="str">
        <f>HYPERLINK("#'Dental &amp; Vision'!AN1","Q4.30_3")</f>
        <v>Q4.30_3</v>
      </c>
      <c r="F40" s="4" t="str">
        <f>HYPERLINK("#'Dental &amp; Vision'!AN2","How the dental benefit is paid for dependents - Children")</f>
        <v>How the dental benefit is paid for dependents - Children</v>
      </c>
      <c r="G40" s="24" t="str">
        <f>HYPERLINK("#'Life, AD&amp;D, Critical Illness'!AN1","Q5.35")</f>
        <v>Q5.35</v>
      </c>
      <c r="H40" s="4" t="str">
        <f>HYPERLINK("#'Life, AD&amp;D, Critical Illness'!AN2","Have a waiting period for participation in the AD&amp;D plan for new employees")</f>
        <v>Have a waiting period for participation in the AD&amp;D plan for new employees</v>
      </c>
      <c r="I40" s="32" t="str">
        <f>HYPERLINK("#'Sickness &amp; Disability'!AN1","Q6.39")</f>
        <v>Q6.39</v>
      </c>
      <c r="J40" s="36" t="str">
        <f>HYPERLINK("#'Sickness &amp; Disability'!AN2","Approach to insuring the supplemental short-term disability benefit")</f>
        <v>Approach to insuring the supplemental short-term disability benefit</v>
      </c>
      <c r="K40" s="24" t="str">
        <f>HYPERLINK("#'Retirement'!AN1","Q7.38")</f>
        <v>Q7.38</v>
      </c>
      <c r="L40" s="4" t="str">
        <f>HYPERLINK("#'Retirement'!AN2","DB Plan - How compensation is defined in the benefit formula")</f>
        <v>DB Plan - How compensation is defined in the benefit formula</v>
      </c>
      <c r="M40" s="24" t="str">
        <f>HYPERLINK("#'Leaves'!AN1","Q8.37")</f>
        <v>Q8.37</v>
      </c>
      <c r="N40" s="4" t="str">
        <f>HYPERLINK("#'Leaves'!AN2","Waiting period (days) for all employees")</f>
        <v>Waiting period (days) for all employees</v>
      </c>
      <c r="O40" s="24" t="str">
        <f>HYPERLINK("#'Wellbeing'!AN1","Q9.30")</f>
        <v>Q9.30</v>
      </c>
      <c r="P40" s="4" t="str">
        <f>HYPERLINK("#'Wellbeing'!AN2","Timing of the EAP sessions offered to employees")</f>
        <v>Timing of the EAP sessions offered to employees</v>
      </c>
      <c r="Q40" s="24" t="str">
        <f>HYPERLINK("#'Transportation'!AN1","Q10.18_1_2")</f>
        <v>Q10.18_1_2</v>
      </c>
      <c r="R40" s="4" t="str">
        <f>HYPERLINK("#'Transportation'!AN2","Maximum annual car allowance value in CAD for - Directors (Sales classification)")</f>
        <v>Maximum annual car allowance value in CAD for - Directors (Sales classification)</v>
      </c>
      <c r="S40" s="24" t="str">
        <f>HYPERLINK("#'Perqs &amp; Allowances'!AN1","Q11.23")</f>
        <v>Q11.23</v>
      </c>
      <c r="T40" s="4" t="str">
        <f>HYPERLINK("#'Perqs &amp; Allowances'!AN2","Gifts/experiences provided for each milestone")</f>
        <v>Gifts/experiences provided for each milestone</v>
      </c>
      <c r="U40" s="33"/>
    </row>
    <row r="41" spans="1:21" ht="24.95" customHeight="1" x14ac:dyDescent="0.25">
      <c r="C41" s="24" t="str">
        <f>HYPERLINK("#'Supp. Healthcare'!AO1","Q3.37")</f>
        <v>Q3.37</v>
      </c>
      <c r="D41" s="4" t="str">
        <f>HYPERLINK("#'Supp. Healthcare'!AO2","How the benefits provided to dependents differ from those provided to employees")</f>
        <v>How the benefits provided to dependents differ from those provided to employees</v>
      </c>
      <c r="E41" s="24" t="str">
        <f>HYPERLINK("#'Dental &amp; Vision'!AO1","Q4.30_4")</f>
        <v>Q4.30_4</v>
      </c>
      <c r="F41" s="4" t="str">
        <f>HYPERLINK("#'Dental &amp; Vision'!AO2","How the dental benefit is paid for dependents - Parents")</f>
        <v>How the dental benefit is paid for dependents - Parents</v>
      </c>
      <c r="G41" s="24" t="str">
        <f>HYPERLINK("#'Life, AD&amp;D, Critical Illness'!AO1","Q5.36")</f>
        <v>Q5.36</v>
      </c>
      <c r="H41" s="4" t="str">
        <f>HYPERLINK("#'Life, AD&amp;D, Critical Illness'!AO2","Waiting period (days) for all employees")</f>
        <v>Waiting period (days) for all employees</v>
      </c>
      <c r="I41" s="32" t="str">
        <f>HYPERLINK("#'Sickness &amp; Disability'!AO1","Q6.39_3_TEXT")</f>
        <v>Q6.39_3_TEXT</v>
      </c>
      <c r="J41" s="36" t="str">
        <f>HYPERLINK("#'Sickness &amp; Disability'!AO2","Other way the supplemental short-term disability benefit is insured")</f>
        <v>Other way the supplemental short-term disability benefit is insured</v>
      </c>
      <c r="K41" s="24" t="str">
        <f>HYPERLINK("#'Retirement'!AO1","Q7.38_7_TEXT")</f>
        <v>Q7.38_7_TEXT</v>
      </c>
      <c r="L41" s="4" t="str">
        <f>HYPERLINK("#'Retirement'!AO2","DB Plan - Other ways compensation is defined in the benefit formula")</f>
        <v>DB Plan - Other ways compensation is defined in the benefit formula</v>
      </c>
      <c r="M41" s="24" t="str">
        <f>HYPERLINK("#'Leaves'!AO1","Q8.38")</f>
        <v>Q8.38</v>
      </c>
      <c r="N41" s="4" t="str">
        <f>HYPERLINK("#'Leaves'!AO2","Waiting period (days) for each employee group")</f>
        <v>Waiting period (days) for each employee group</v>
      </c>
      <c r="O41" s="24" t="str">
        <f>HYPERLINK("#'Wellbeing'!AO1","Q9.31")</f>
        <v>Q9.31</v>
      </c>
      <c r="P41" s="4" t="str">
        <f>HYPERLINK("#'Wellbeing'!AO2","Number of EAP sessions offered to employees per incident")</f>
        <v>Number of EAP sessions offered to employees per incident</v>
      </c>
      <c r="Q41" s="24" t="str">
        <f>HYPERLINK("#'Transportation'!AO1","Q10.18_2_1")</f>
        <v>Q10.18_2_1</v>
      </c>
      <c r="R41" s="4" t="str">
        <f>HYPERLINK("#'Transportation'!AO2","Minimum annual car allowance value in CAD for - First line supervisors (Sales classification)")</f>
        <v>Minimum annual car allowance value in CAD for - First line supervisors (Sales classification)</v>
      </c>
      <c r="S41" s="24" t="str">
        <f>HYPERLINK("#'Perqs &amp; Allowances'!AO1","Q11.24")</f>
        <v>Q11.24</v>
      </c>
      <c r="T41" s="4" t="str">
        <f>HYPERLINK("#'Perqs &amp; Allowances'!AO2","Other offerings in recognition of service milestones")</f>
        <v>Other offerings in recognition of service milestones</v>
      </c>
      <c r="U41" s="33"/>
    </row>
    <row r="42" spans="1:21" ht="24.95" customHeight="1" x14ac:dyDescent="0.25">
      <c r="C42" s="24" t="str">
        <f>HYPERLINK("#'Supp. Healthcare'!AP1","Q3.38")</f>
        <v>Q3.38</v>
      </c>
      <c r="D42" s="4" t="str">
        <f>HYPERLINK("#'Supp. Healthcare'!AP2","How the benefit is paid for employee cover only (not dependents)")</f>
        <v>How the benefit is paid for employee cover only (not dependents)</v>
      </c>
      <c r="E42" s="24" t="str">
        <f>HYPERLINK("#'Dental &amp; Vision'!AP1","Q4.30_5")</f>
        <v>Q4.30_5</v>
      </c>
      <c r="F42" s="4" t="str">
        <f>HYPERLINK("#'Dental &amp; Vision'!AP2","How the dental benefit is paid for dependents - Other")</f>
        <v>How the dental benefit is paid for dependents - Other</v>
      </c>
      <c r="G42" s="24" t="str">
        <f>HYPERLINK("#'Life, AD&amp;D, Critical Illness'!AP1","Q5.37")</f>
        <v>Q5.37</v>
      </c>
      <c r="H42" s="4" t="str">
        <f>HYPERLINK("#'Life, AD&amp;D, Critical Illness'!AP2","Waiting period (days) for each employee group")</f>
        <v>Waiting period (days) for each employee group</v>
      </c>
      <c r="I42" s="32" t="str">
        <f>HYPERLINK("#'Sickness &amp; Disability'!AP1","Q6.40")</f>
        <v>Q6.40</v>
      </c>
      <c r="J42" s="36" t="str">
        <f>HYPERLINK("#'Sickness &amp; Disability'!AP2","Type of carrier insured supplemental short-term disability benefits policy")</f>
        <v>Type of carrier insured supplemental short-term disability benefits policy</v>
      </c>
      <c r="K42" s="24" t="str">
        <f>HYPERLINK("#'Retirement'!AP1","Q7.39")</f>
        <v>Q7.39</v>
      </c>
      <c r="L42" s="4" t="str">
        <f>HYPERLINK("#'Retirement'!AP2","DB Plan - Number of years of earnings the benefit is based upon")</f>
        <v>DB Plan - Number of years of earnings the benefit is based upon</v>
      </c>
      <c r="M42" s="24" t="str">
        <f>HYPERLINK("#'Leaves'!AP1","Q8.39")</f>
        <v>Q8.39</v>
      </c>
      <c r="N42" s="4" t="str">
        <f>HYPERLINK("#'Leaves'!AP2","How the supplemental non-birth parent leave is paid")</f>
        <v>How the supplemental non-birth parent leave is paid</v>
      </c>
      <c r="O42" s="24" t="str">
        <f>HYPERLINK("#'Wellbeing'!AP1","Q9.32")</f>
        <v>Q9.32</v>
      </c>
      <c r="P42" s="4" t="str">
        <f>HYPERLINK("#'Wellbeing'!AP2","Number of EAP sessions offered to employees per year")</f>
        <v>Number of EAP sessions offered to employees per year</v>
      </c>
      <c r="Q42" s="24" t="str">
        <f>HYPERLINK("#'Transportation'!AP1","Q10.18_2_2")</f>
        <v>Q10.18_2_2</v>
      </c>
      <c r="R42" s="4" t="str">
        <f>HYPERLINK("#'Transportation'!AP2","Maximum annual car allowance value in CAD for - First line supervisors (Sales classification)")</f>
        <v>Maximum annual car allowance value in CAD for - First line supervisors (Sales classification)</v>
      </c>
      <c r="S42" s="24" t="str">
        <f>HYPERLINK("#'Perqs &amp; Allowances'!AP1","Q11.25")</f>
        <v>Q11.25</v>
      </c>
      <c r="T42" s="4" t="str">
        <f>HYPERLINK("#'Perqs &amp; Allowances'!AP2","Other family friendly benefit")</f>
        <v>Other family friendly benefit</v>
      </c>
      <c r="U42" s="33"/>
    </row>
    <row r="43" spans="1:21" ht="24.95" customHeight="1" x14ac:dyDescent="0.25">
      <c r="C43" s="24" t="str">
        <f>HYPERLINK("#'Supp. Healthcare'!AQ1","Q3.39")</f>
        <v>Q3.39</v>
      </c>
      <c r="D43" s="4" t="str">
        <f>HYPERLINK("#'Supp. Healthcare'!AQ2","How employee cost sharing is determined")</f>
        <v>How employee cost sharing is determined</v>
      </c>
      <c r="E43" s="24" t="str">
        <f>HYPERLINK("#'Dental &amp; Vision'!AQ1","Q4.31")</f>
        <v>Q4.31</v>
      </c>
      <c r="F43" s="4" t="str">
        <f>HYPERLINK("#'Dental &amp; Vision'!AQ2","How employee cost sharing is determined for dependent coverage")</f>
        <v>How employee cost sharing is determined for dependent coverage</v>
      </c>
      <c r="G43" s="24" t="str">
        <f>HYPERLINK("#'Life, AD&amp;D, Critical Illness'!AQ1","Q5.38")</f>
        <v>Q5.38</v>
      </c>
      <c r="H43" s="4" t="str">
        <f>HYPERLINK("#'Life, AD&amp;D, Critical Illness'!AQ2","What is covered under the company-provided basic AD&amp;D benefit plan")</f>
        <v>What is covered under the company-provided basic AD&amp;D benefit plan</v>
      </c>
      <c r="I43" s="32" t="str">
        <f>HYPERLINK("#'Sickness &amp; Disability'!AQ1","Q6.40_6_TEXT")</f>
        <v>Q6.40_6_TEXT</v>
      </c>
      <c r="J43" s="36" t="str">
        <f>HYPERLINK("#'Sickness &amp; Disability'!AQ2","Other type of carrier insured supplemental short-term disability benefits policy")</f>
        <v>Other type of carrier insured supplemental short-term disability benefits policy</v>
      </c>
      <c r="K43" s="24" t="str">
        <f>HYPERLINK("#'Retirement'!AQ1","Q7.40")</f>
        <v>Q7.40</v>
      </c>
      <c r="L43" s="4" t="str">
        <f>HYPERLINK("#'Retirement'!AQ2","DB Plan - Same percentage is applied to all earnings to calculate the benefit")</f>
        <v>DB Plan - Same percentage is applied to all earnings to calculate the benefit</v>
      </c>
      <c r="M43" s="24" t="str">
        <f>HYPERLINK("#'Leaves'!AQ1","Q8.40")</f>
        <v>Q8.40</v>
      </c>
      <c r="N43" s="4" t="str">
        <f>HYPERLINK("#'Leaves'!AQ2","Number of weeks full pay for non-birth-parent leave is maintained")</f>
        <v>Number of weeks full pay for non-birth-parent leave is maintained</v>
      </c>
      <c r="O43" s="24" t="str">
        <f>HYPERLINK("#'Wellbeing'!AQ1","Q9.33")</f>
        <v>Q9.33</v>
      </c>
      <c r="P43" s="4" t="str">
        <f>HYPERLINK("#'Wellbeing'!AQ2","Components included in the EAP")</f>
        <v>Components included in the EAP</v>
      </c>
      <c r="Q43" s="24" t="str">
        <f>HYPERLINK("#'Transportation'!AQ1","Q10.18_3_1")</f>
        <v>Q10.18_3_1</v>
      </c>
      <c r="R43" s="4" t="str">
        <f>HYPERLINK("#'Transportation'!AQ2","Minimum annual car allowance value in CAD for - Managers (Sales classification)")</f>
        <v>Minimum annual car allowance value in CAD for - Managers (Sales classification)</v>
      </c>
      <c r="S43" s="24" t="str">
        <f>HYPERLINK("#'Perqs &amp; Allowances'!AQ1","Q11.26")</f>
        <v>Q11.26</v>
      </c>
      <c r="T43" s="4" t="str">
        <f>HYPERLINK("#'Perqs &amp; Allowances'!AQ2","Other offering to remote workers")</f>
        <v>Other offering to remote workers</v>
      </c>
      <c r="U43" s="33"/>
    </row>
    <row r="44" spans="1:21" ht="24.95" customHeight="1" x14ac:dyDescent="0.25">
      <c r="C44" s="24" t="str">
        <f>HYPERLINK("#'Supp. Healthcare'!AR1","Q3.40")</f>
        <v>Q3.40</v>
      </c>
      <c r="D44" s="4" t="str">
        <f>HYPERLINK("#'Supp. Healthcare'!AR2","Monthly flat amount the employee is required to pay in CAD")</f>
        <v>Monthly flat amount the employee is required to pay in CAD</v>
      </c>
      <c r="E44" s="24" t="str">
        <f>HYPERLINK("#'Dental &amp; Vision'!AR1","Q4.33")</f>
        <v>Q4.33</v>
      </c>
      <c r="F44" s="4" t="str">
        <f>HYPERLINK("#'Dental &amp; Vision'!AR2","Approach to insuring the dental benefits")</f>
        <v>Approach to insuring the dental benefits</v>
      </c>
      <c r="G44" s="24" t="str">
        <f>HYPERLINK("#'Life, AD&amp;D, Critical Illness'!AR1","Q5.38_6_TEXT")</f>
        <v>Q5.38_6_TEXT</v>
      </c>
      <c r="H44" s="4" t="str">
        <f>HYPERLINK("#'Life, AD&amp;D, Critical Illness'!AR2","Other areas covered under the company-provided basic AD&amp;D benefit plan")</f>
        <v>Other areas covered under the company-provided basic AD&amp;D benefit plan</v>
      </c>
      <c r="I44" s="32" t="str">
        <f>HYPERLINK("#'Sickness &amp; Disability'!AR1","Q6.41")</f>
        <v>Q6.41</v>
      </c>
      <c r="J44" s="36" t="str">
        <f>HYPERLINK("#'Sickness &amp; Disability'!AR2","Other policy that the carrier insured supplemental short-term disability benefits plan is a rider to")</f>
        <v>Other policy that the carrier insured supplemental short-term disability benefits plan is a rider to</v>
      </c>
      <c r="K44" s="24" t="str">
        <f>HYPERLINK("#'Retirement'!AR1","Q7.41")</f>
        <v>Q7.41</v>
      </c>
      <c r="L44" s="4" t="str">
        <f>HYPERLINK("#'Retirement'!AR2","DB Plan - Percentage of earnings used to compute the benefit")</f>
        <v>DB Plan - Percentage of earnings used to compute the benefit</v>
      </c>
      <c r="M44" s="24" t="str">
        <f>HYPERLINK("#'Leaves'!AR1","Q8.41")</f>
        <v>Q8.41</v>
      </c>
      <c r="N44" s="4" t="str">
        <f>HYPERLINK("#'Leaves'!AR2","Percentage of salary maintained during non-birth parent leave, including Employment Insurance/Quebec Parental Insurance Plan (EI/QPIP) benefits")</f>
        <v>Percentage of salary maintained during non-birth parent leave, including Employment Insurance/Quebec Parental Insurance Plan (EI/QPIP) benefits</v>
      </c>
      <c r="O44" s="24" t="str">
        <f>HYPERLINK("#'Wellbeing'!AR1","Q9.33_20_TEXT")</f>
        <v>Q9.33_20_TEXT</v>
      </c>
      <c r="P44" s="4" t="str">
        <f>HYPERLINK("#'Wellbeing'!AR2","Other components included in the EAP")</f>
        <v>Other components included in the EAP</v>
      </c>
      <c r="Q44" s="24" t="str">
        <f>HYPERLINK("#'Transportation'!AR1","Q10.18_3_2")</f>
        <v>Q10.18_3_2</v>
      </c>
      <c r="R44" s="4" t="str">
        <f>HYPERLINK("#'Transportation'!AR2","Maximum annual car allowance value in CAD for - Managers (Sales classification)")</f>
        <v>Maximum annual car allowance value in CAD for - Managers (Sales classification)</v>
      </c>
      <c r="S44" s="24" t="str">
        <f>HYPERLINK("#'Perqs &amp; Allowances'!AR1","Q11.27")</f>
        <v>Q11.27</v>
      </c>
      <c r="T44" s="4" t="str">
        <f>HYPERLINK("#'Perqs &amp; Allowances'!AR2","Other innovative benefits the company offers")</f>
        <v>Other innovative benefits the company offers</v>
      </c>
      <c r="U44" s="33"/>
    </row>
    <row r="45" spans="1:21" ht="24.95" customHeight="1" x14ac:dyDescent="0.25">
      <c r="C45" s="24" t="str">
        <f>HYPERLINK("#'Supp. Healthcare'!AS1","Q3.41")</f>
        <v>Q3.41</v>
      </c>
      <c r="D45" s="4" t="str">
        <f>HYPERLINK("#'Supp. Healthcare'!AS2","Percentage the employee is required to pay")</f>
        <v>Percentage the employee is required to pay</v>
      </c>
      <c r="E45" s="24" t="str">
        <f>HYPERLINK("#'Dental &amp; Vision'!AS1","Q4.33_5_TEXT")</f>
        <v>Q4.33_5_TEXT</v>
      </c>
      <c r="F45" s="4" t="str">
        <f>HYPERLINK("#'Dental &amp; Vision'!AS2","Other approach to insuring the dental benefits")</f>
        <v>Other approach to insuring the dental benefits</v>
      </c>
      <c r="G45" s="24" t="str">
        <f>HYPERLINK("#'Life, AD&amp;D, Critical Illness'!AS1","Q5.39")</f>
        <v>Q5.39</v>
      </c>
      <c r="H45" s="4" t="str">
        <f>HYPERLINK("#'Life, AD&amp;D, Critical Illness'!AS2","Benefit formula used for the company-provided basic AD&amp;D benefit plan")</f>
        <v>Benefit formula used for the company-provided basic AD&amp;D benefit plan</v>
      </c>
      <c r="I45" s="32" t="str">
        <f>HYPERLINK("#'Sickness &amp; Disability'!AS1","Q6.42")</f>
        <v>Q6.42</v>
      </c>
      <c r="J45" s="36" t="str">
        <f>HYPERLINK("#'Sickness &amp; Disability'!AS2","Vendor for the most prevalent short-term disability benefit")</f>
        <v>Vendor for the most prevalent short-term disability benefit</v>
      </c>
      <c r="K45" s="24" t="str">
        <f>HYPERLINK("#'Retirement'!AS1","Q7.42")</f>
        <v>Q7.42</v>
      </c>
      <c r="L45" s="4" t="str">
        <f>HYPERLINK("#'Retirement'!AS2","DB Plan - Benefit formula used")</f>
        <v>DB Plan - Benefit formula used</v>
      </c>
      <c r="M45" s="24" t="str">
        <f>HYPERLINK("#'Leaves'!AS1","Q8.42")</f>
        <v>Q8.42</v>
      </c>
      <c r="N45" s="4" t="str">
        <f>HYPERLINK("#'Leaves'!AS2","Number of weeks partial pay above statutory requirements for non-birth parent leave is maintained")</f>
        <v>Number of weeks partial pay above statutory requirements for non-birth parent leave is maintained</v>
      </c>
      <c r="O45" s="24" t="str">
        <f>HYPERLINK("#'Wellbeing'!AS1","Q9.34")</f>
        <v>Q9.34</v>
      </c>
      <c r="P45" s="4" t="str">
        <f>HYPERLINK("#'Wellbeing'!AS2","How employees access the EAP vendor's services")</f>
        <v>How employees access the EAP vendor's services</v>
      </c>
      <c r="Q45" s="24" t="str">
        <f>HYPERLINK("#'Transportation'!AS1","Q10.18_4_1")</f>
        <v>Q10.18_4_1</v>
      </c>
      <c r="R45" s="4" t="str">
        <f>HYPERLINK("#'Transportation'!AS2","Minimum annual car allowance value in CAD for - Non-management (Sales classification)")</f>
        <v>Minimum annual car allowance value in CAD for - Non-management (Sales classification)</v>
      </c>
      <c r="S45" s="24" t="str">
        <f>HYPERLINK("#'Perqs &amp; Allowances'!AS1","Q11.28")</f>
        <v>Q11.28</v>
      </c>
      <c r="T45" s="4" t="str">
        <f>HYPERLINK("#'Perqs &amp; Allowances'!AS2","Vendor used to provide perquisites and allowances")</f>
        <v>Vendor used to provide perquisites and allowances</v>
      </c>
      <c r="U45" s="33"/>
    </row>
    <row r="46" spans="1:21" ht="24.95" customHeight="1" x14ac:dyDescent="0.25">
      <c r="C46" s="24" t="str">
        <f>HYPERLINK("#'Supp. Healthcare'!AT1","Q3.42")</f>
        <v>Q3.42</v>
      </c>
      <c r="D46" s="4" t="str">
        <f>HYPERLINK("#'Supp. Healthcare'!AT2","Monthly flat amount of the company contribution in CAD")</f>
        <v>Monthly flat amount of the company contribution in CAD</v>
      </c>
      <c r="E46" s="24" t="str">
        <f>HYPERLINK("#'Dental &amp; Vision'!AT1","Q4.34")</f>
        <v>Q4.34</v>
      </c>
      <c r="F46" s="4" t="str">
        <f>HYPERLINK("#'Dental &amp; Vision'!AT2","Type of carrier insured dental policy")</f>
        <v>Type of carrier insured dental policy</v>
      </c>
      <c r="G46" s="24" t="str">
        <f>HYPERLINK("#'Life, AD&amp;D, Critical Illness'!AT1","Q5.40")</f>
        <v>Q5.40</v>
      </c>
      <c r="H46" s="4" t="str">
        <f>HYPERLINK("#'Life, AD&amp;D, Critical Illness'!AT2","Flat amount of the company-provided basic AD&amp;D benefit provided in CAD")</f>
        <v>Flat amount of the company-provided basic AD&amp;D benefit provided in CAD</v>
      </c>
      <c r="I46" s="32" t="str">
        <f>HYPERLINK("#'Sickness &amp; Disability'!AT1","Q6.42_9_TEXT")</f>
        <v>Q6.42_9_TEXT</v>
      </c>
      <c r="J46" s="36" t="str">
        <f>HYPERLINK("#'Sickness &amp; Disability'!AT2","Other vendor for the most prevalent short-term disability benefit")</f>
        <v>Other vendor for the most prevalent short-term disability benefit</v>
      </c>
      <c r="K46" s="24" t="str">
        <f>HYPERLINK("#'Retirement'!AT1","Q7.43")</f>
        <v>Q7.43</v>
      </c>
      <c r="L46" s="4" t="str">
        <f>HYPERLINK("#'Retirement'!AT2","DB Plan - Flat amount used to compute the benefit in CAD")</f>
        <v>DB Plan - Flat amount used to compute the benefit in CAD</v>
      </c>
      <c r="M46" s="24" t="str">
        <f>HYPERLINK("#'Leaves'!AT1","Q8.43")</f>
        <v>Q8.43</v>
      </c>
      <c r="N46" s="4" t="str">
        <f>HYPERLINK("#'Leaves'!AT2","Number of additional unpaid weeks of non-birth parent leave provided")</f>
        <v>Number of additional unpaid weeks of non-birth parent leave provided</v>
      </c>
      <c r="O46" s="24" t="str">
        <f>HYPERLINK("#'Wellbeing'!AT1","Q9.34_10_TEXT")</f>
        <v>Q9.34_10_TEXT</v>
      </c>
      <c r="P46" s="4" t="str">
        <f>HYPERLINK("#'Wellbeing'!AT2","Other ways employees access the EAP vendor's services")</f>
        <v>Other ways employees access the EAP vendor's services</v>
      </c>
      <c r="Q46" s="24" t="str">
        <f>HYPERLINK("#'Transportation'!AT1","Q10.18_4_2")</f>
        <v>Q10.18_4_2</v>
      </c>
      <c r="R46" s="4" t="str">
        <f>HYPERLINK("#'Transportation'!AT2","Maximum annual car allowance value in CAD for - Non-management (Sales classification)")</f>
        <v>Maximum annual car allowance value in CAD for - Non-management (Sales classification)</v>
      </c>
      <c r="S46" s="24" t="str">
        <f>HYPERLINK("#'Perqs &amp; Allowances'!AT1","Q11.29")</f>
        <v>Q11.29</v>
      </c>
      <c r="T46" s="4" t="str">
        <f>HYPERLINK("#'Perqs &amp; Allowances'!AT2","Company has any perquisites and/or allowances for which only executives are eligible to participate")</f>
        <v>Company has any perquisites and/or allowances for which only executives are eligible to participate</v>
      </c>
      <c r="U46" s="33"/>
    </row>
    <row r="47" spans="1:21" ht="24.95" customHeight="1" thickBot="1" x14ac:dyDescent="0.3">
      <c r="C47" s="24" t="str">
        <f>HYPERLINK("#'Supp. Healthcare'!AU1","Q3.43")</f>
        <v>Q3.43</v>
      </c>
      <c r="D47" s="4" t="str">
        <f>HYPERLINK("#'Supp. Healthcare'!AU2","How cost sharing is determined")</f>
        <v>How cost sharing is determined</v>
      </c>
      <c r="E47" s="24" t="str">
        <f>HYPERLINK("#'Dental &amp; Vision'!AU1","Q4.34_6_TEXT")</f>
        <v>Q4.34_6_TEXT</v>
      </c>
      <c r="F47" s="4" t="str">
        <f>HYPERLINK("#'Dental &amp; Vision'!AU2","Other type of carrier insured dental policy")</f>
        <v>Other type of carrier insured dental policy</v>
      </c>
      <c r="G47" s="24" t="str">
        <f>HYPERLINK("#'Life, AD&amp;D, Critical Illness'!AU1","Q5.41")</f>
        <v>Q5.41</v>
      </c>
      <c r="H47" s="4" t="str">
        <f>HYPERLINK("#'Life, AD&amp;D, Critical Illness'!AU2","Types of compensation eligible under the company-provided basic AD&amp;D benefit")</f>
        <v>Types of compensation eligible under the company-provided basic AD&amp;D benefit</v>
      </c>
      <c r="I47" s="32" t="str">
        <f>HYPERLINK("#'Sickness &amp; Disability'!AU1","Q6.44")</f>
        <v>Q6.44</v>
      </c>
      <c r="J47" s="36" t="str">
        <f>HYPERLINK("#'Sickness &amp; Disability'!AU2","Company offers some type of supplemental long-term disability benefit, paid as a regular payment")</f>
        <v>Company offers some type of supplemental long-term disability benefit, paid as a regular payment</v>
      </c>
      <c r="K47" s="24" t="str">
        <f>HYPERLINK("#'Retirement'!AU1","Q7.44")</f>
        <v>Q7.44</v>
      </c>
      <c r="L47" s="4" t="str">
        <f>HYPERLINK("#'Retirement'!AU2","DB Plan - Vesting schedule")</f>
        <v>DB Plan - Vesting schedule</v>
      </c>
      <c r="M47" s="24" t="str">
        <f>HYPERLINK("#'Leaves'!AU1","Q8.45")</f>
        <v>Q8.45</v>
      </c>
      <c r="N47" s="4" t="str">
        <f>HYPERLINK("#'Leaves'!AU2","Have a waiting period for participation in supplemental parental leave for new employees")</f>
        <v>Have a waiting period for participation in supplemental parental leave for new employees</v>
      </c>
      <c r="O47" s="24" t="str">
        <f>HYPERLINK("#'Wellbeing'!AU1","Q9.35")</f>
        <v>Q9.35</v>
      </c>
      <c r="P47" s="4" t="str">
        <f>HYPERLINK("#'Wellbeing'!AU2","EAP vendor")</f>
        <v>EAP vendor</v>
      </c>
      <c r="Q47" s="24" t="str">
        <f>HYPERLINK("#'Transportation'!AU1","Q10.18_5_1")</f>
        <v>Q10.18_5_1</v>
      </c>
      <c r="R47" s="4" t="str">
        <f>HYPERLINK("#'Transportation'!AU2","Minimum annual car allowance value in CAD for - Top executives (Sales classification)")</f>
        <v>Minimum annual car allowance value in CAD for - Top executives (Sales classification)</v>
      </c>
      <c r="S47" s="29" t="str">
        <f>HYPERLINK("#'Perqs &amp; Allowances'!AU1","Q11.30")</f>
        <v>Q11.30</v>
      </c>
      <c r="T47" s="26" t="str">
        <f>HYPERLINK("#'Perqs &amp; Allowances'!AU2","Perquisites and/or allowances for which only executives are eligible to participate")</f>
        <v>Perquisites and/or allowances for which only executives are eligible to participate</v>
      </c>
      <c r="U47" s="33"/>
    </row>
    <row r="48" spans="1:21" ht="24.95" customHeight="1" x14ac:dyDescent="0.25">
      <c r="C48" s="24" t="str">
        <f>HYPERLINK("#'Supp. Healthcare'!AV1","Q3.44_1")</f>
        <v>Q3.44_1</v>
      </c>
      <c r="D48" s="4" t="str">
        <f>HYPERLINK("#'Supp. Healthcare'!AV2","How the benefit is paid for dependents - Spouse")</f>
        <v>How the benefit is paid for dependents - Spouse</v>
      </c>
      <c r="E48" s="24" t="str">
        <f>HYPERLINK("#'Dental &amp; Vision'!AV1","Q4.35")</f>
        <v>Q4.35</v>
      </c>
      <c r="F48" s="4" t="str">
        <f>HYPERLINK("#'Dental &amp; Vision'!AV2","Other policy that the carrier insured dental plan is a rider to")</f>
        <v>Other policy that the carrier insured dental plan is a rider to</v>
      </c>
      <c r="G48" s="24" t="str">
        <f>HYPERLINK("#'Life, AD&amp;D, Critical Illness'!AV1","Q5.41_9_TEXT")</f>
        <v>Q5.41_9_TEXT</v>
      </c>
      <c r="H48" s="4" t="str">
        <f>HYPERLINK("#'Life, AD&amp;D, Critical Illness'!AV2","Other types of compensation eligible under the company-provided basic AD&amp;D benefit")</f>
        <v>Other types of compensation eligible under the company-provided basic AD&amp;D benefit</v>
      </c>
      <c r="I48" s="32" t="str">
        <f>HYPERLINK("#'Sickness &amp; Disability'!AV1","Q6.45")</f>
        <v>Q6.45</v>
      </c>
      <c r="J48" s="36" t="str">
        <f>HYPERLINK("#'Sickness &amp; Disability'!AV2","Have a waiting period for participation for new employees")</f>
        <v>Have a waiting period for participation for new employees</v>
      </c>
      <c r="K48" s="24" t="str">
        <f>HYPERLINK("#'Retirement'!AV1","Q7.45")</f>
        <v>Q7.45</v>
      </c>
      <c r="L48" s="4" t="str">
        <f>HYPERLINK("#'Retirement'!AV2","Number of years of completed service required for cliff vesting")</f>
        <v>Number of years of completed service required for cliff vesting</v>
      </c>
      <c r="M48" s="24" t="str">
        <f>HYPERLINK("#'Leaves'!AV1","Q8.46")</f>
        <v>Q8.46</v>
      </c>
      <c r="N48" s="4" t="str">
        <f>HYPERLINK("#'Leaves'!AV2","Waiting period (days) for all employees")</f>
        <v>Waiting period (days) for all employees</v>
      </c>
      <c r="O48" s="24" t="str">
        <f>HYPERLINK("#'Wellbeing'!AV1","Q9.35_9_TEXT")</f>
        <v>Q9.35_9_TEXT</v>
      </c>
      <c r="P48" s="4" t="str">
        <f>HYPERLINK("#'Wellbeing'!AV2","Other EAP vendor")</f>
        <v>Other EAP vendor</v>
      </c>
      <c r="Q48" s="24" t="str">
        <f>HYPERLINK("#'Transportation'!AV1","Q10.18_5_2")</f>
        <v>Q10.18_5_2</v>
      </c>
      <c r="R48" s="4" t="str">
        <f>HYPERLINK("#'Transportation'!AV2","Maximum annual car allowance value in CAD for - Top executives (Sales classification)")</f>
        <v>Maximum annual car allowance value in CAD for - Top executives (Sales classification)</v>
      </c>
      <c r="S48" s="35"/>
      <c r="T48" s="30"/>
    </row>
    <row r="49" spans="3:19" ht="24.95" customHeight="1" x14ac:dyDescent="0.25">
      <c r="C49" s="24" t="str">
        <f>HYPERLINK("#'Supp. Healthcare'!AW1","Q3.44_2")</f>
        <v>Q3.44_2</v>
      </c>
      <c r="D49" s="4" t="str">
        <f>HYPERLINK("#'Supp. Healthcare'!AW2","How the benefit is paid for dependents - Common-law partner")</f>
        <v>How the benefit is paid for dependents - Common-law partner</v>
      </c>
      <c r="E49" s="24" t="str">
        <f>HYPERLINK("#'Dental &amp; Vision'!AW1","Q4.36")</f>
        <v>Q4.36</v>
      </c>
      <c r="F49" s="4" t="str">
        <f>HYPERLINK("#'Dental &amp; Vision'!AW2","Vendor for the most prevalent dental plan")</f>
        <v>Vendor for the most prevalent dental plan</v>
      </c>
      <c r="G49" s="24" t="str">
        <f>HYPERLINK("#'Life, AD&amp;D, Critical Illness'!AW1","Q5.42")</f>
        <v>Q5.42</v>
      </c>
      <c r="H49" s="4" t="str">
        <f>HYPERLINK("#'Life, AD&amp;D, Critical Illness'!AW2","Multiple of earnings provided")</f>
        <v>Multiple of earnings provided</v>
      </c>
      <c r="I49" s="32" t="str">
        <f>HYPERLINK("#'Sickness &amp; Disability'!AW1","Q6.46")</f>
        <v>Q6.46</v>
      </c>
      <c r="J49" s="36" t="str">
        <f>HYPERLINK("#'Sickness &amp; Disability'!AW2","Waiting period (days) for all employees")</f>
        <v>Waiting period (days) for all employees</v>
      </c>
      <c r="K49" s="24" t="str">
        <f>HYPERLINK("#'Retirement'!AW1","Q7.46")</f>
        <v>Q7.46</v>
      </c>
      <c r="L49" s="4" t="str">
        <f>HYPERLINK("#'Retirement'!AW2","Step vesting schedule")</f>
        <v>Step vesting schedule</v>
      </c>
      <c r="M49" s="24" t="str">
        <f>HYPERLINK("#'Leaves'!AW1","Q8.47")</f>
        <v>Q8.47</v>
      </c>
      <c r="N49" s="4" t="str">
        <f>HYPERLINK("#'Leaves'!AW2","Waiting period (days) for each employee group")</f>
        <v>Waiting period (days) for each employee group</v>
      </c>
      <c r="O49" s="24" t="str">
        <f>HYPERLINK("#'Wellbeing'!AW1","Q9.36")</f>
        <v>Q9.36</v>
      </c>
      <c r="P49" s="4" t="str">
        <f>HYPERLINK("#'Wellbeing'!AW2","Employees have sufficient access to providers with expertise in issues specific to race, age, gender, sexual orientation, and ability")</f>
        <v>Employees have sufficient access to providers with expertise in issues specific to race, age, gender, sexual orientation, and ability</v>
      </c>
      <c r="Q49" s="24" t="str">
        <f>HYPERLINK("#'Transportation'!AW1","Q10.18_6_1")</f>
        <v>Q10.18_6_1</v>
      </c>
      <c r="R49" s="4" t="str">
        <f>HYPERLINK("#'Transportation'!AW2","Minimum annual car allowance value in CAD for - Other (Sales classification)")</f>
        <v>Minimum annual car allowance value in CAD for - Other (Sales classification)</v>
      </c>
      <c r="S49" s="33"/>
    </row>
    <row r="50" spans="3:19" ht="24.95" customHeight="1" x14ac:dyDescent="0.25">
      <c r="C50" s="24" t="str">
        <f>HYPERLINK("#'Supp. Healthcare'!AX1","Q3.44_3")</f>
        <v>Q3.44_3</v>
      </c>
      <c r="D50" s="4" t="str">
        <f>HYPERLINK("#'Supp. Healthcare'!AX2","How the benefit is paid for dependents - Children")</f>
        <v>How the benefit is paid for dependents - Children</v>
      </c>
      <c r="E50" s="24" t="str">
        <f>HYPERLINK("#'Dental &amp; Vision'!AX1","Q4.36_9_TEXT")</f>
        <v>Q4.36_9_TEXT</v>
      </c>
      <c r="F50" s="4" t="str">
        <f>HYPERLINK("#'Dental &amp; Vision'!AX2","Other vendor for the most prevalent dental plan")</f>
        <v>Other vendor for the most prevalent dental plan</v>
      </c>
      <c r="G50" s="24" t="str">
        <f>HYPERLINK("#'Life, AD&amp;D, Critical Illness'!AX1","Q5.42_7_TEXT")</f>
        <v>Q5.42_7_TEXT</v>
      </c>
      <c r="H50" s="4" t="str">
        <f>HYPERLINK("#'Life, AD&amp;D, Critical Illness'!AX2","Other multiple of earnings provided")</f>
        <v>Other multiple of earnings provided</v>
      </c>
      <c r="I50" s="32" t="str">
        <f>HYPERLINK("#'Sickness &amp; Disability'!AX1","Q6.47")</f>
        <v>Q6.47</v>
      </c>
      <c r="J50" s="36" t="str">
        <f>HYPERLINK("#'Sickness &amp; Disability'!AX2","Waiting period (days) for each employee group")</f>
        <v>Waiting period (days) for each employee group</v>
      </c>
      <c r="K50" s="24" t="str">
        <f>HYPERLINK("#'Retirement'!AX1","Q7.47")</f>
        <v>Q7.47</v>
      </c>
      <c r="L50" s="4" t="str">
        <f>HYPERLINK("#'Retirement'!AX2","Other vesting schedule")</f>
        <v>Other vesting schedule</v>
      </c>
      <c r="M50" s="24" t="str">
        <f>HYPERLINK("#'Leaves'!AX1","Q8.48")</f>
        <v>Q8.48</v>
      </c>
      <c r="N50" s="4" t="str">
        <f>HYPERLINK("#'Leaves'!AX2","How the supplemental parental leave is paid")</f>
        <v>How the supplemental parental leave is paid</v>
      </c>
      <c r="O50" s="24" t="str">
        <f>HYPERLINK("#'Wellbeing'!AX1","Q9.37")</f>
        <v>Q9.37</v>
      </c>
      <c r="P50" s="4" t="str">
        <f>HYPERLINK("#'Wellbeing'!AX2","Offer other services supporting mental wellbeing outside of an EAP and medical plan")</f>
        <v>Offer other services supporting mental wellbeing outside of an EAP and medical plan</v>
      </c>
      <c r="Q50" s="24" t="str">
        <f>HYPERLINK("#'Transportation'!AX1","Q10.18_6_2")</f>
        <v>Q10.18_6_2</v>
      </c>
      <c r="R50" s="4" t="str">
        <f>HYPERLINK("#'Transportation'!AX2","Maximum annual car allowance value in CAD for - Other (Sales classification)")</f>
        <v>Maximum annual car allowance value in CAD for - Other (Sales classification)</v>
      </c>
      <c r="S50" s="33"/>
    </row>
    <row r="51" spans="3:19" ht="24.95" customHeight="1" x14ac:dyDescent="0.25">
      <c r="C51" s="24" t="str">
        <f>HYPERLINK("#'Supp. Healthcare'!AY1","Q3.44_4")</f>
        <v>Q3.44_4</v>
      </c>
      <c r="D51" s="4" t="str">
        <f>HYPERLINK("#'Supp. Healthcare'!AY2","How the benefit is paid for dependents - Parents")</f>
        <v>How the benefit is paid for dependents - Parents</v>
      </c>
      <c r="E51" s="24" t="str">
        <f>HYPERLINK("#'Dental &amp; Vision'!AY1","Q4.38")</f>
        <v>Q4.38</v>
      </c>
      <c r="F51" s="4" t="str">
        <f>HYPERLINK("#'Dental &amp; Vision'!AY2","Offer some type of vision benefit")</f>
        <v>Offer some type of vision benefit</v>
      </c>
      <c r="G51" s="24" t="str">
        <f>HYPERLINK("#'Life, AD&amp;D, Critical Illness'!AY1","Q5.43")</f>
        <v>Q5.43</v>
      </c>
      <c r="H51" s="4" t="str">
        <f>HYPERLINK("#'Life, AD&amp;D, Critical Illness'!AY2","Benefit formula used to determine the amount of the company-provided basic AD&amp;D benefit")</f>
        <v>Benefit formula used to determine the amount of the company-provided basic AD&amp;D benefit</v>
      </c>
      <c r="I51" s="32" t="str">
        <f>HYPERLINK("#'Sickness &amp; Disability'!AY1","Q6.48")</f>
        <v>Q6.48</v>
      </c>
      <c r="J51" s="36" t="str">
        <f>HYPERLINK("#'Sickness &amp; Disability'!AY2","Elimination period (weeks) to receive supplemental long-term disability benefits")</f>
        <v>Elimination period (weeks) to receive supplemental long-term disability benefits</v>
      </c>
      <c r="K51" s="24" t="str">
        <f>HYPERLINK("#'Retirement'!AY1","Q7.48")</f>
        <v>Q7.48</v>
      </c>
      <c r="L51" s="4" t="str">
        <f>HYPERLINK("#'Retirement'!AY2","Company provides provision for payment of an early retirement pension")</f>
        <v>Company provides provision for payment of an early retirement pension</v>
      </c>
      <c r="M51" s="24" t="str">
        <f>HYPERLINK("#'Leaves'!AY1","Q8.49")</f>
        <v>Q8.49</v>
      </c>
      <c r="N51" s="4" t="str">
        <f>HYPERLINK("#'Leaves'!AY2","Number of weeks full pay for parental leave is maintained")</f>
        <v>Number of weeks full pay for parental leave is maintained</v>
      </c>
      <c r="O51" s="24" t="str">
        <f>HYPERLINK("#'Wellbeing'!AY1","Q9.38")</f>
        <v>Q9.38</v>
      </c>
      <c r="P51" s="4" t="str">
        <f>HYPERLINK("#'Wellbeing'!AY2","Additional mental wellbeing services offered")</f>
        <v>Additional mental wellbeing services offered</v>
      </c>
      <c r="Q51" s="24" t="str">
        <f>HYPERLINK("#'Transportation'!AY1","Q10.19")</f>
        <v>Q10.19</v>
      </c>
      <c r="R51" s="4" t="str">
        <f>HYPERLINK("#'Transportation'!AY2","Factors taken into consideration when determining the car allowance amount")</f>
        <v>Factors taken into consideration when determining the car allowance amount</v>
      </c>
      <c r="S51" s="33"/>
    </row>
    <row r="52" spans="3:19" ht="24.95" customHeight="1" x14ac:dyDescent="0.25">
      <c r="C52" s="24" t="str">
        <f>HYPERLINK("#'Supp. Healthcare'!AZ1","Q3.44_5")</f>
        <v>Q3.44_5</v>
      </c>
      <c r="D52" s="4" t="str">
        <f>HYPERLINK("#'Supp. Healthcare'!AZ2","How the benefit is paid for dependents - Other")</f>
        <v>How the benefit is paid for dependents - Other</v>
      </c>
      <c r="E52" s="24" t="str">
        <f>HYPERLINK("#'Dental &amp; Vision'!AZ1","Q4.39")</f>
        <v>Q4.39</v>
      </c>
      <c r="F52" s="4" t="str">
        <f>HYPERLINK("#'Dental &amp; Vision'!AZ2","Who is eligible to receive vision benefits")</f>
        <v>Who is eligible to receive vision benefits</v>
      </c>
      <c r="G52" s="24" t="str">
        <f>HYPERLINK("#'Life, AD&amp;D, Critical Illness'!AZ1","Q5.44")</f>
        <v>Q5.44</v>
      </c>
      <c r="H52" s="4" t="str">
        <f>HYPERLINK("#'Life, AD&amp;D, Critical Illness'!AZ2","Company-provided basic AD&amp;D has a cap")</f>
        <v>Company-provided basic AD&amp;D has a cap</v>
      </c>
      <c r="I52" s="32" t="str">
        <f>HYPERLINK("#'Sickness &amp; Disability'!AZ1","Q6.49")</f>
        <v>Q6.49</v>
      </c>
      <c r="J52" s="36" t="str">
        <f>HYPERLINK("#'Sickness &amp; Disability'!AZ2","Definition of long-term disability - Inability to perform:")</f>
        <v>Definition of long-term disability - Inability to perform:</v>
      </c>
      <c r="K52" s="24" t="str">
        <f>HYPERLINK("#'Retirement'!AZ1","Q7.49")</f>
        <v>Q7.49</v>
      </c>
      <c r="L52" s="4" t="str">
        <f>HYPERLINK("#'Retirement'!AZ2","Age at which employees are eligible for an early retirement pension")</f>
        <v>Age at which employees are eligible for an early retirement pension</v>
      </c>
      <c r="M52" s="24" t="str">
        <f>HYPERLINK("#'Leaves'!AZ1","Q8.50")</f>
        <v>Q8.50</v>
      </c>
      <c r="N52" s="4" t="str">
        <f>HYPERLINK("#'Leaves'!AZ2","Percentage of salary maintained during parental leave, including Employment Insurance/Quebec Parental Insurance Plan (EI/QPIP) benefits")</f>
        <v>Percentage of salary maintained during parental leave, including Employment Insurance/Quebec Parental Insurance Plan (EI/QPIP) benefits</v>
      </c>
      <c r="O52" s="24" t="str">
        <f>HYPERLINK("#'Wellbeing'!AZ1","Q9.40")</f>
        <v>Q9.40</v>
      </c>
      <c r="P52" s="4" t="str">
        <f>HYPERLINK("#'Wellbeing'!AZ2","Financial wellbeing programs the company offers")</f>
        <v>Financial wellbeing programs the company offers</v>
      </c>
      <c r="Q52" s="24" t="str">
        <f>HYPERLINK("#'Transportation'!AZ1","Q10.19_9_TEXT")</f>
        <v>Q10.19_9_TEXT</v>
      </c>
      <c r="R52" s="4" t="str">
        <f>HYPERLINK("#'Transportation'!AZ2","Other factors taken into consideration when determining the car allowance amount")</f>
        <v>Other factors taken into consideration when determining the car allowance amount</v>
      </c>
      <c r="S52" s="33"/>
    </row>
    <row r="53" spans="3:19" ht="24.95" customHeight="1" x14ac:dyDescent="0.25">
      <c r="C53" s="24" t="str">
        <f>HYPERLINK("#'Supp. Healthcare'!BA1","Q3.45")</f>
        <v>Q3.45</v>
      </c>
      <c r="D53" s="4" t="str">
        <f>HYPERLINK("#'Supp. Healthcare'!BA2","How employee cost sharing is determined for dependent coverage")</f>
        <v>How employee cost sharing is determined for dependent coverage</v>
      </c>
      <c r="E53" s="24" t="str">
        <f>HYPERLINK("#'Dental &amp; Vision'!BA1","Q4.40")</f>
        <v>Q4.40</v>
      </c>
      <c r="F53" s="4" t="str">
        <f>HYPERLINK("#'Dental &amp; Vision'!BA2","Dependents eligible to participate in the vision plan")</f>
        <v>Dependents eligible to participate in the vision plan</v>
      </c>
      <c r="G53" s="24" t="str">
        <f>HYPERLINK("#'Life, AD&amp;D, Critical Illness'!BA1","Q5.45")</f>
        <v>Q5.45</v>
      </c>
      <c r="H53" s="4" t="str">
        <f>HYPERLINK("#'Life, AD&amp;D, Critical Illness'!BA2","Maximum company-provided basic AD&amp;D benefit amount in CAD")</f>
        <v>Maximum company-provided basic AD&amp;D benefit amount in CAD</v>
      </c>
      <c r="I53" s="32" t="str">
        <f>HYPERLINK("#'Sickness &amp; Disability'!BA1","Q6.49_3_TEXT")</f>
        <v>Q6.49_3_TEXT</v>
      </c>
      <c r="J53" s="36" t="str">
        <f>HYPERLINK("#'Sickness &amp; Disability'!BA2","Other definition of long-term disability")</f>
        <v>Other definition of long-term disability</v>
      </c>
      <c r="K53" s="24" t="str">
        <f>HYPERLINK("#'Retirement'!BA1","Q7.50")</f>
        <v>Q7.50</v>
      </c>
      <c r="L53" s="4" t="str">
        <f>HYPERLINK("#'Retirement'!BA2","Number of years of service required for an early retirement pension")</f>
        <v>Number of years of service required for an early retirement pension</v>
      </c>
      <c r="M53" s="24" t="str">
        <f>HYPERLINK("#'Leaves'!BA1","Q8.51")</f>
        <v>Q8.51</v>
      </c>
      <c r="N53" s="4" t="str">
        <f>HYPERLINK("#'Leaves'!BA2","Number of weeks partial pay above statutory requirements for parental leave is maintained")</f>
        <v>Number of weeks partial pay above statutory requirements for parental leave is maintained</v>
      </c>
      <c r="O53" s="24" t="str">
        <f>HYPERLINK("#'Wellbeing'!BA1","Q9.40_14_TEXT")</f>
        <v>Q9.40_14_TEXT</v>
      </c>
      <c r="P53" s="4" t="str">
        <f>HYPERLINK("#'Wellbeing'!BA2","Other financial wellbeing programs the company offers")</f>
        <v>Other financial wellbeing programs the company offers</v>
      </c>
      <c r="Q53" s="24" t="str">
        <f>HYPERLINK("#'Transportation'!BA1","Q10.20")</f>
        <v>Q10.20</v>
      </c>
      <c r="R53" s="4" t="str">
        <f>HYPERLINK("#'Transportation'!BA2","Instances when the car allowance is included as base pay for computing ")</f>
        <v xml:space="preserve">Instances when the car allowance is included as base pay for computing </v>
      </c>
      <c r="S53" s="33"/>
    </row>
    <row r="54" spans="3:19" ht="24.95" customHeight="1" x14ac:dyDescent="0.25">
      <c r="C54" s="24" t="str">
        <f>HYPERLINK("#'Supp. Healthcare'!BB1","Q3.47")</f>
        <v>Q3.47</v>
      </c>
      <c r="D54" s="4" t="str">
        <f>HYPERLINK("#'Supp. Healthcare'!BB2","Approach to insuring the supplemental healthcare coverage")</f>
        <v>Approach to insuring the supplemental healthcare coverage</v>
      </c>
      <c r="E54" s="24" t="str">
        <f>HYPERLINK("#'Dental &amp; Vision'!BB1","Q4.40_7_TEXT")</f>
        <v>Q4.40_7_TEXT</v>
      </c>
      <c r="F54" s="4" t="str">
        <f>HYPERLINK("#'Dental &amp; Vision'!BB2","Other dependents eligible to participate in the vision plan")</f>
        <v>Other dependents eligible to participate in the vision plan</v>
      </c>
      <c r="G54" s="24" t="str">
        <f>HYPERLINK("#'Life, AD&amp;D, Critical Illness'!BB1","Q5.46")</f>
        <v>Q5.46</v>
      </c>
      <c r="H54" s="4" t="str">
        <f>HYPERLINK("#'Life, AD&amp;D, Critical Illness'!BB2","Type of AD&amp;D benefits provided to dependents are the same as those provided to employees")</f>
        <v>Type of AD&amp;D benefits provided to dependents are the same as those provided to employees</v>
      </c>
      <c r="I54" s="32" t="str">
        <f>HYPERLINK("#'Sickness &amp; Disability'!BB1","Q6.50")</f>
        <v>Q6.50</v>
      </c>
      <c r="J54" s="36" t="str">
        <f>HYPERLINK("#'Sickness &amp; Disability'!BB2","Types of compensation eligible under the supplemental long-term disability plan")</f>
        <v>Types of compensation eligible under the supplemental long-term disability plan</v>
      </c>
      <c r="K54" s="24" t="str">
        <f>HYPERLINK("#'Retirement'!BB1","Q7.51")</f>
        <v>Q7.51</v>
      </c>
      <c r="L54" s="4" t="str">
        <f>HYPERLINK("#'Retirement'!BB2","Company's normal retirement age")</f>
        <v>Company's normal retirement age</v>
      </c>
      <c r="M54" s="24" t="str">
        <f>HYPERLINK("#'Leaves'!BB1","Q8.52")</f>
        <v>Q8.52</v>
      </c>
      <c r="N54" s="4" t="str">
        <f>HYPERLINK("#'Leaves'!BB2","Number of additional unpaid weeks of parental leave provided")</f>
        <v>Number of additional unpaid weeks of parental leave provided</v>
      </c>
      <c r="O54" s="24" t="str">
        <f>HYPERLINK("#'Wellbeing'!BB1","Q9.41")</f>
        <v>Q9.41</v>
      </c>
      <c r="P54" s="4" t="str">
        <f>HYPERLINK("#'Wellbeing'!BB2","How the financial wellbeing programs are offered")</f>
        <v>How the financial wellbeing programs are offered</v>
      </c>
      <c r="Q54" s="24" t="str">
        <f>HYPERLINK("#'Transportation'!BB1","Q10.20_12_TEXT")</f>
        <v>Q10.20_12_TEXT</v>
      </c>
      <c r="R54" s="4" t="str">
        <f>HYPERLINK("#'Transportation'!BB2","Other instances when the car allowance is included as base pay for computing ")</f>
        <v xml:space="preserve">Other instances when the car allowance is included as base pay for computing </v>
      </c>
      <c r="S54" s="33"/>
    </row>
    <row r="55" spans="3:19" ht="24.95" customHeight="1" x14ac:dyDescent="0.25">
      <c r="C55" s="24" t="str">
        <f>HYPERLINK("#'Supp. Healthcare'!BC1","Q3.47_5_TEXT")</f>
        <v>Q3.47_5_TEXT</v>
      </c>
      <c r="D55" s="4" t="str">
        <f>HYPERLINK("#'Supp. Healthcare'!BC2","Other way the supplemental healthcare coverage is insured")</f>
        <v>Other way the supplemental healthcare coverage is insured</v>
      </c>
      <c r="E55" s="24" t="str">
        <f>HYPERLINK("#'Dental &amp; Vision'!BC1","Q4.41")</f>
        <v>Q4.41</v>
      </c>
      <c r="F55" s="4" t="str">
        <f>HYPERLINK("#'Dental &amp; Vision'!BC2","Have a waiting period for participation in the vision plan for new employees")</f>
        <v>Have a waiting period for participation in the vision plan for new employees</v>
      </c>
      <c r="G55" s="24" t="str">
        <f>HYPERLINK("#'Life, AD&amp;D, Critical Illness'!BC1","Q5.47")</f>
        <v>Q5.47</v>
      </c>
      <c r="H55" s="4" t="str">
        <f>HYPERLINK("#'Life, AD&amp;D, Critical Illness'!BC2","How the benefits provided to dependents differ from those provided to employees")</f>
        <v>How the benefits provided to dependents differ from those provided to employees</v>
      </c>
      <c r="I55" s="32" t="str">
        <f>HYPERLINK("#'Sickness &amp; Disability'!BC1","Q6.50_9_TEXT")</f>
        <v>Q6.50_9_TEXT</v>
      </c>
      <c r="J55" s="36" t="str">
        <f>HYPERLINK("#'Sickness &amp; Disability'!BC2","Other types of compensation eligible under the supplemental long-term disability plan")</f>
        <v>Other types of compensation eligible under the supplemental long-term disability plan</v>
      </c>
      <c r="K55" s="24" t="str">
        <f>HYPERLINK("#'Retirement'!BC1","Q7.51_5_TEXT")</f>
        <v>Q7.51_5_TEXT</v>
      </c>
      <c r="L55" s="4" t="str">
        <f>HYPERLINK("#'Retirement'!BC2","Other retirement age")</f>
        <v>Other retirement age</v>
      </c>
      <c r="M55" s="24" t="str">
        <f>HYPERLINK("#'Leaves'!BC1","Q8.53")</f>
        <v>Q8.53</v>
      </c>
      <c r="N55" s="4" t="str">
        <f>HYPERLINK("#'Leaves'!BC2","Provide grandparents time off for the birth of a grandchild")</f>
        <v>Provide grandparents time off for the birth of a grandchild</v>
      </c>
      <c r="O55" s="24" t="str">
        <f>HYPERLINK("#'Wellbeing'!BC1","Q9.41_8_TEXT")</f>
        <v>Q9.41_8_TEXT</v>
      </c>
      <c r="P55" s="4" t="str">
        <f>HYPERLINK("#'Wellbeing'!BC2","Other ways the financial wellbeing programs are offered")</f>
        <v>Other ways the financial wellbeing programs are offered</v>
      </c>
      <c r="Q55" s="24" t="str">
        <f>HYPERLINK("#'Transportation'!BC1","Q10.22")</f>
        <v>Q10.22</v>
      </c>
      <c r="R55" s="4" t="str">
        <f>HYPERLINK("#'Transportation'!BC2","Types of cars covered under the policy")</f>
        <v>Types of cars covered under the policy</v>
      </c>
      <c r="S55" s="33"/>
    </row>
    <row r="56" spans="3:19" ht="24.95" customHeight="1" x14ac:dyDescent="0.25">
      <c r="C56" s="24" t="str">
        <f>HYPERLINK("#'Supp. Healthcare'!BD1","Q3.48")</f>
        <v>Q3.48</v>
      </c>
      <c r="D56" s="4" t="str">
        <f>HYPERLINK("#'Supp. Healthcare'!BD2","Vendor for the most prevalent healthcare plan")</f>
        <v>Vendor for the most prevalent healthcare plan</v>
      </c>
      <c r="E56" s="24" t="str">
        <f>HYPERLINK("#'Dental &amp; Vision'!BD1","Q4.42")</f>
        <v>Q4.42</v>
      </c>
      <c r="F56" s="4" t="str">
        <f>HYPERLINK("#'Dental &amp; Vision'!BD2","Waiting period (days) for all employees")</f>
        <v>Waiting period (days) for all employees</v>
      </c>
      <c r="G56" s="24" t="str">
        <f>HYPERLINK("#'Life, AD&amp;D, Critical Illness'!BD1","Q5.48")</f>
        <v>Q5.48</v>
      </c>
      <c r="H56" s="4" t="str">
        <f>HYPERLINK("#'Life, AD&amp;D, Critical Illness'!BD2","Employees can purchase employee AD&amp;D benefit coverage")</f>
        <v>Employees can purchase employee AD&amp;D benefit coverage</v>
      </c>
      <c r="I56" s="32" t="str">
        <f>HYPERLINK("#'Sickness &amp; Disability'!BD1","Q6.51")</f>
        <v>Q6.51</v>
      </c>
      <c r="J56" s="36" t="str">
        <f>HYPERLINK("#'Sickness &amp; Disability'!BD2","Maximum duration of the supplemental long-term disability plan benefit")</f>
        <v>Maximum duration of the supplemental long-term disability plan benefit</v>
      </c>
      <c r="K56" s="24" t="str">
        <f>HYPERLINK("#'Retirement'!BD1","Q7.53")</f>
        <v>Q7.53</v>
      </c>
      <c r="L56" s="4" t="str">
        <f>HYPERLINK("#'Retirement'!BD2","Hybrid plan details")</f>
        <v>Hybrid plan details</v>
      </c>
      <c r="M56" s="24" t="str">
        <f>HYPERLINK("#'Leaves'!BD1","Q8.54")</f>
        <v>Q8.54</v>
      </c>
      <c r="N56" s="4" t="str">
        <f>HYPERLINK("#'Leaves'!BD2","Number of days provided to grandparents")</f>
        <v>Number of days provided to grandparents</v>
      </c>
      <c r="O56" s="24" t="str">
        <f>HYPERLINK("#'Wellbeing'!BD1","Q9.42")</f>
        <v>Q9.42</v>
      </c>
      <c r="P56" s="4" t="str">
        <f>HYPERLINK("#'Wellbeing'!BD2","Additional information about how financial wellbeing programs are offered")</f>
        <v>Additional information about how financial wellbeing programs are offered</v>
      </c>
      <c r="Q56" s="24" t="str">
        <f>HYPERLINK("#'Transportation'!BD1","Q10.22_6_TEXT")</f>
        <v>Q10.22_6_TEXT</v>
      </c>
      <c r="R56" s="4" t="str">
        <f>HYPERLINK("#'Transportation'!BD2","Other types of cars covered under the policy")</f>
        <v>Other types of cars covered under the policy</v>
      </c>
      <c r="S56" s="33"/>
    </row>
    <row r="57" spans="3:19" ht="24.95" customHeight="1" x14ac:dyDescent="0.25">
      <c r="C57" s="24" t="str">
        <f>HYPERLINK("#'Supp. Healthcare'!BE1","Q3.48_9_TEXT")</f>
        <v>Q3.48_9_TEXT</v>
      </c>
      <c r="D57" s="4" t="str">
        <f>HYPERLINK("#'Supp. Healthcare'!BE2","Other vendor for the most prevalent healthcare plan")</f>
        <v>Other vendor for the most prevalent healthcare plan</v>
      </c>
      <c r="E57" s="24" t="str">
        <f>HYPERLINK("#'Dental &amp; Vision'!BE1","Q4.43")</f>
        <v>Q4.43</v>
      </c>
      <c r="F57" s="4" t="str">
        <f>HYPERLINK("#'Dental &amp; Vision'!BE2","Waiting period (days) for each employee group")</f>
        <v>Waiting period (days) for each employee group</v>
      </c>
      <c r="G57" s="24" t="str">
        <f>HYPERLINK("#'Life, AD&amp;D, Critical Illness'!BE1","Q5.49")</f>
        <v>Q5.49</v>
      </c>
      <c r="H57" s="4" t="str">
        <f>HYPERLINK("#'Life, AD&amp;D, Critical Illness'!BE2","AD&amp;D coverage options available to employees")</f>
        <v>AD&amp;D coverage options available to employees</v>
      </c>
      <c r="I57" s="32" t="str">
        <f>HYPERLINK("#'Sickness &amp; Disability'!BE1","Q6.51_6_TEXT")</f>
        <v>Q6.51_6_TEXT</v>
      </c>
      <c r="J57" s="36" t="str">
        <f>HYPERLINK("#'Sickness &amp; Disability'!BE2","Other maximum duration of the supplemental long-term disability plan benefit")</f>
        <v>Other maximum duration of the supplemental long-term disability plan benefit</v>
      </c>
      <c r="K57" s="24" t="str">
        <f>HYPERLINK("#'Retirement'!BE1","Q7.55")</f>
        <v>Q7.55</v>
      </c>
      <c r="L57" s="4" t="str">
        <f>HYPERLINK("#'Retirement'!BE2","Company's participation in the Group RRSP plan")</f>
        <v>Company's participation in the Group RRSP plan</v>
      </c>
      <c r="M57" s="24" t="str">
        <f>HYPERLINK("#'Leaves'!BE1","Q8.56")</f>
        <v>Q8.56</v>
      </c>
      <c r="N57" s="4" t="str">
        <f>HYPERLINK("#'Leaves'!BE2","Have a waiting period for participation in supplemental adoption leave for new employees")</f>
        <v>Have a waiting period for participation in supplemental adoption leave for new employees</v>
      </c>
      <c r="O57" s="24" t="str">
        <f>HYPERLINK("#'Wellbeing'!BE1","Q9.43")</f>
        <v>Q9.43</v>
      </c>
      <c r="P57" s="4" t="str">
        <f>HYPERLINK("#'Wellbeing'!BE2","Provide monetary incentives for participation in wellbeing programs")</f>
        <v>Provide monetary incentives for participation in wellbeing programs</v>
      </c>
      <c r="Q57" s="24" t="str">
        <f>HYPERLINK("#'Transportation'!BE1","Q10.23")</f>
        <v>Q10.23</v>
      </c>
      <c r="R57" s="4" t="str">
        <f>HYPERLINK("#'Transportation'!BE2","Have a policy/strategy of moving away from company cars")</f>
        <v>Have a policy/strategy of moving away from company cars</v>
      </c>
      <c r="S57" s="33"/>
    </row>
    <row r="58" spans="3:19" ht="24.95" customHeight="1" x14ac:dyDescent="0.25">
      <c r="C58" s="24" t="str">
        <f>HYPERLINK("#'Supp. Healthcare'!BF1","Q3.49")</f>
        <v>Q3.49</v>
      </c>
      <c r="D58" s="4" t="str">
        <f>HYPERLINK("#'Supp. Healthcare'!BF2","Offer a Health Care Spending Account (HCSA)")</f>
        <v>Offer a Health Care Spending Account (HCSA)</v>
      </c>
      <c r="E58" s="24" t="str">
        <f>HYPERLINK("#'Dental &amp; Vision'!BF1","Q4.44")</f>
        <v>Q4.44</v>
      </c>
      <c r="F58" s="4" t="str">
        <f>HYPERLINK("#'Dental &amp; Vision'!BF2","Vision benefit has different levels or plan designs")</f>
        <v>Vision benefit has different levels or plan designs</v>
      </c>
      <c r="G58" s="24" t="str">
        <f>HYPERLINK("#'Life, AD&amp;D, Critical Illness'!BF1","Q5.50")</f>
        <v>Q5.50</v>
      </c>
      <c r="H58" s="4" t="str">
        <f>HYPERLINK("#'Life, AD&amp;D, Critical Illness'!BF2","Employees can purchase AD&amp;D coverage for dependents")</f>
        <v>Employees can purchase AD&amp;D coverage for dependents</v>
      </c>
      <c r="I58" s="32" t="str">
        <f>HYPERLINK("#'Sickness &amp; Disability'!BF1","Q6.52")</f>
        <v>Q6.52</v>
      </c>
      <c r="J58" s="36" t="str">
        <f>HYPERLINK("#'Sickness &amp; Disability'!BF2","Maximum number of weeks for the supplemental long-term disability benefit")</f>
        <v>Maximum number of weeks for the supplemental long-term disability benefit</v>
      </c>
      <c r="K58" s="24" t="str">
        <f>HYPERLINK("#'Retirement'!BF1","Q7.56")</f>
        <v>Q7.56</v>
      </c>
      <c r="L58" s="4" t="str">
        <f>HYPERLINK("#'Retirement'!BF2","Types of compensation used in calculating contributions")</f>
        <v>Types of compensation used in calculating contributions</v>
      </c>
      <c r="M58" s="24" t="str">
        <f>HYPERLINK("#'Leaves'!BF1","Q8.57")</f>
        <v>Q8.57</v>
      </c>
      <c r="N58" s="4" t="str">
        <f>HYPERLINK("#'Leaves'!BF2","Waiting period (days) for all employees")</f>
        <v>Waiting period (days) for all employees</v>
      </c>
      <c r="O58" s="24" t="str">
        <f>HYPERLINK("#'Wellbeing'!BF1","Q9.44")</f>
        <v>Q9.44</v>
      </c>
      <c r="P58" s="4" t="str">
        <f>HYPERLINK("#'Wellbeing'!BF2","Monetary wellbeing incentives are contingent on completing required activities")</f>
        <v>Monetary wellbeing incentives are contingent on completing required activities</v>
      </c>
      <c r="Q58" s="24" t="str">
        <f>HYPERLINK("#'Transportation'!BF1","Q10.24")</f>
        <v>Q10.24</v>
      </c>
      <c r="R58" s="4" t="str">
        <f>HYPERLINK("#'Transportation'!BF2","Steps the company is taking to transition from company cars")</f>
        <v>Steps the company is taking to transition from company cars</v>
      </c>
      <c r="S58" s="33"/>
    </row>
    <row r="59" spans="3:19" ht="24.95" customHeight="1" x14ac:dyDescent="0.25">
      <c r="C59" s="24" t="str">
        <f>HYPERLINK("#'Supp. Healthcare'!BG1","Q3.50")</f>
        <v>Q3.50</v>
      </c>
      <c r="D59" s="4" t="str">
        <f>HYPERLINK("#'Supp. Healthcare'!BG2","Employer contribution to the HCSA is the same amount for all employees")</f>
        <v>Employer contribution to the HCSA is the same amount for all employees</v>
      </c>
      <c r="E59" s="24" t="str">
        <f>HYPERLINK("#'Dental &amp; Vision'!BG1","Q4.45")</f>
        <v>Q4.45</v>
      </c>
      <c r="F59" s="4" t="str">
        <f>HYPERLINK("#'Dental &amp; Vision'!BG2","Vision benefit different levels or plan designs")</f>
        <v>Vision benefit different levels or plan designs</v>
      </c>
      <c r="G59" s="24" t="str">
        <f>HYPERLINK("#'Life, AD&amp;D, Critical Illness'!BG1","Q5.51")</f>
        <v>Q5.51</v>
      </c>
      <c r="H59" s="4" t="str">
        <f>HYPERLINK("#'Life, AD&amp;D, Critical Illness'!BG2","Dependents eligible to participate in the additional AD&amp;D coverage")</f>
        <v>Dependents eligible to participate in the additional AD&amp;D coverage</v>
      </c>
      <c r="I59" s="32" t="str">
        <f>HYPERLINK("#'Sickness &amp; Disability'!BG1","Q6.53")</f>
        <v>Q6.53</v>
      </c>
      <c r="J59" s="36" t="str">
        <f>HYPERLINK("#'Sickness &amp; Disability'!BG2","Age that is not retirement age")</f>
        <v>Age that is not retirement age</v>
      </c>
      <c r="K59" s="24" t="str">
        <f>HYPERLINK("#'Retirement'!BG1","Q7.56_8_TEXT")</f>
        <v>Q7.56_8_TEXT</v>
      </c>
      <c r="L59" s="4" t="str">
        <f>HYPERLINK("#'Retirement'!BG2","Other types of compensation used in calculating contributions")</f>
        <v>Other types of compensation used in calculating contributions</v>
      </c>
      <c r="M59" s="24" t="str">
        <f>HYPERLINK("#'Leaves'!BG1","Q8.58")</f>
        <v>Q8.58</v>
      </c>
      <c r="N59" s="4" t="str">
        <f>HYPERLINK("#'Leaves'!BG2","Waiting period (days) for each employee group")</f>
        <v>Waiting period (days) for each employee group</v>
      </c>
      <c r="O59" s="24" t="str">
        <f>HYPERLINK("#'Wellbeing'!BG1","Q9.45")</f>
        <v>Q9.45</v>
      </c>
      <c r="P59" s="4" t="str">
        <f>HYPERLINK("#'Wellbeing'!BG2","Conditions an employee must meet to receive a monetary wellbeing incentive")</f>
        <v>Conditions an employee must meet to receive a monetary wellbeing incentive</v>
      </c>
      <c r="Q59" s="24" t="str">
        <f>HYPERLINK("#'Transportation'!BG1","Q10.25")</f>
        <v>Q10.25</v>
      </c>
      <c r="R59" s="4" t="str">
        <f>HYPERLINK("#'Transportation'!BG2","Employees are able to choose which vehicle they receive")</f>
        <v>Employees are able to choose which vehicle they receive</v>
      </c>
      <c r="S59" s="33"/>
    </row>
    <row r="60" spans="3:19" ht="24.95" customHeight="1" x14ac:dyDescent="0.25">
      <c r="C60" s="24" t="str">
        <f>HYPERLINK("#'Supp. Healthcare'!BH1","Q3.51")</f>
        <v>Q3.51</v>
      </c>
      <c r="D60" s="4" t="str">
        <f>HYPERLINK("#'Supp. Healthcare'!BH2","Annual amount of the employer contribution per employee to the HCSA in CAD")</f>
        <v>Annual amount of the employer contribution per employee to the HCSA in CAD</v>
      </c>
      <c r="E60" s="24" t="str">
        <f>HYPERLINK("#'Dental &amp; Vision'!BH1","Q4.47")</f>
        <v>Q4.47</v>
      </c>
      <c r="F60" s="4" t="str">
        <f>HYPERLINK("#'Dental &amp; Vision'!BH2","Vision benefit has a coinsurance")</f>
        <v>Vision benefit has a coinsurance</v>
      </c>
      <c r="G60" s="24" t="str">
        <f>HYPERLINK("#'Life, AD&amp;D, Critical Illness'!BH1","Q5.51_7_TEXT")</f>
        <v>Q5.51_7_TEXT</v>
      </c>
      <c r="H60" s="4" t="str">
        <f>HYPERLINK("#'Life, AD&amp;D, Critical Illness'!BH2","Other dependents eligible to participate in the additional AD&amp;D coverage")</f>
        <v>Other dependents eligible to participate in the additional AD&amp;D coverage</v>
      </c>
      <c r="I60" s="32" t="str">
        <f>HYPERLINK("#'Sickness &amp; Disability'!BH1","Q6.54")</f>
        <v>Q6.54</v>
      </c>
      <c r="J60" s="36" t="str">
        <f>HYPERLINK("#'Sickness &amp; Disability'!BH2","Provide the same benefit for the entire long-term disability period")</f>
        <v>Provide the same benefit for the entire long-term disability period</v>
      </c>
      <c r="K60" s="24" t="str">
        <f>HYPERLINK("#'Retirement'!BH1","Q7.57")</f>
        <v>Q7.57</v>
      </c>
      <c r="L60" s="4" t="str">
        <f>HYPERLINK("#'Retirement'!BH2","Percentage the company automatically contribute to the Group RRSP plan")</f>
        <v>Percentage the company automatically contribute to the Group RRSP plan</v>
      </c>
      <c r="M60" s="24" t="str">
        <f>HYPERLINK("#'Leaves'!BH1","Q8.59")</f>
        <v>Q8.59</v>
      </c>
      <c r="N60" s="4" t="str">
        <f>HYPERLINK("#'Leaves'!BH2","Have an adopted child age limit for employees to be eligible for adoption leave")</f>
        <v>Have an adopted child age limit for employees to be eligible for adoption leave</v>
      </c>
      <c r="O60" s="24" t="str">
        <f>HYPERLINK("#'Wellbeing'!BH1","Q9.46")</f>
        <v>Q9.46</v>
      </c>
      <c r="P60" s="4" t="str">
        <f>HYPERLINK("#'Wellbeing'!BH2","Maximum annual monetary amount that can be earned under the wellbeing incentive program in CAD")</f>
        <v>Maximum annual monetary amount that can be earned under the wellbeing incentive program in CAD</v>
      </c>
      <c r="Q60" s="24" t="str">
        <f>HYPERLINK("#'Transportation'!BH1","Q10.26")</f>
        <v>Q10.26</v>
      </c>
      <c r="R60" s="4" t="str">
        <f>HYPERLINK("#'Transportation'!BH2","Vehicle replacement policy for employees eligible for a company-owned vehicle")</f>
        <v>Vehicle replacement policy for employees eligible for a company-owned vehicle</v>
      </c>
      <c r="S60" s="33"/>
    </row>
    <row r="61" spans="3:19" ht="24.95" customHeight="1" thickBot="1" x14ac:dyDescent="0.3">
      <c r="C61" s="29" t="str">
        <f>HYPERLINK("#'Supp. Healthcare'!BI1","Q3.52")</f>
        <v>Q3.52</v>
      </c>
      <c r="D61" s="26" t="str">
        <f>HYPERLINK("#'Supp. Healthcare'!BI2","Annual amounts the employer contributes to the HCSA in CAD")</f>
        <v>Annual amounts the employer contributes to the HCSA in CAD</v>
      </c>
      <c r="E61" s="24" t="str">
        <f>HYPERLINK("#'Dental &amp; Vision'!BI1","Q4.48")</f>
        <v>Q4.48</v>
      </c>
      <c r="F61" s="4" t="str">
        <f>HYPERLINK("#'Dental &amp; Vision'!BI2","Percentage of coinsurance the employee pays on vision benefits")</f>
        <v>Percentage of coinsurance the employee pays on vision benefits</v>
      </c>
      <c r="G61" s="24" t="str">
        <f>HYPERLINK("#'Life, AD&amp;D, Critical Illness'!BI1","Q5.52")</f>
        <v>Q5.52</v>
      </c>
      <c r="H61" s="4" t="str">
        <f>HYPERLINK("#'Life, AD&amp;D, Critical Illness'!BI2","Dependent AD&amp;D coverage options")</f>
        <v>Dependent AD&amp;D coverage options</v>
      </c>
      <c r="I61" s="32" t="str">
        <f>HYPERLINK("#'Sickness &amp; Disability'!BI1","Q6.55")</f>
        <v>Q6.55</v>
      </c>
      <c r="J61" s="11" t="str">
        <f>HYPERLINK("#'Sickness &amp; Disability'!BI2","Percentage of pay provided during the long-term disability period")</f>
        <v>Percentage of pay provided during the long-term disability period</v>
      </c>
      <c r="K61" s="24" t="str">
        <f>HYPERLINK("#'Retirement'!BI1","Q7.58")</f>
        <v>Q7.58</v>
      </c>
      <c r="L61" s="4" t="str">
        <f>HYPERLINK("#'Retirement'!BI2","Percentage of employee-paid contributions the company matches")</f>
        <v>Percentage of employee-paid contributions the company matches</v>
      </c>
      <c r="M61" s="24" t="str">
        <f>HYPERLINK("#'Leaves'!BI1","Q8.60")</f>
        <v>Q8.60</v>
      </c>
      <c r="N61" s="4" t="str">
        <f>HYPERLINK("#'Leaves'!BI2","Age limit of the adopted child")</f>
        <v>Age limit of the adopted child</v>
      </c>
      <c r="O61" s="24" t="str">
        <f>HYPERLINK("#'Wellbeing'!BI1","Q9.47")</f>
        <v>Q9.47</v>
      </c>
      <c r="P61" s="4" t="str">
        <f>HYPERLINK("#'Wellbeing'!BI2","Non-monetary wellbeing incentives offered")</f>
        <v>Non-monetary wellbeing incentives offered</v>
      </c>
      <c r="Q61" s="24" t="str">
        <f>HYPERLINK("#'Transportation'!BI1","Q10.27")</f>
        <v>Q10.27</v>
      </c>
      <c r="R61" s="4" t="str">
        <f>HYPERLINK("#'Transportation'!BI2","How frequently eligible employees receive a new company vehicle")</f>
        <v>How frequently eligible employees receive a new company vehicle</v>
      </c>
      <c r="S61" s="33"/>
    </row>
    <row r="62" spans="3:19" ht="24.95" customHeight="1" x14ac:dyDescent="0.25">
      <c r="C62" s="27"/>
      <c r="D62" s="30"/>
      <c r="E62" s="24" t="str">
        <f>HYPERLINK("#'Dental &amp; Vision'!BJ1","Q4.49")</f>
        <v>Q4.49</v>
      </c>
      <c r="F62" s="4" t="str">
        <f>HYPERLINK("#'Dental &amp; Vision'!BJ2","Types of coverage included in the vision benefits plan")</f>
        <v>Types of coverage included in the vision benefits plan</v>
      </c>
      <c r="G62" s="24" t="str">
        <f>HYPERLINK("#'Life, AD&amp;D, Critical Illness'!BJ1","Q5.53")</f>
        <v>Q5.53</v>
      </c>
      <c r="H62" s="4" t="str">
        <f>HYPERLINK("#'Life, AD&amp;D, Critical Illness'!BJ2","Cost sharing for the company-provided basic AD&amp;D benefit (excluding any optional employee-paid top-up options)")</f>
        <v>Cost sharing for the company-provided basic AD&amp;D benefit (excluding any optional employee-paid top-up options)</v>
      </c>
      <c r="I62" s="32" t="str">
        <f>HYPERLINK("#'Sickness &amp; Disability'!BJ1","Q6.56")</f>
        <v>Q6.56</v>
      </c>
      <c r="J62" s="36" t="str">
        <f>HYPERLINK("#'Sickness &amp; Disability'!BJ2","Supplemental long-term disability benefits formula")</f>
        <v>Supplemental long-term disability benefits formula</v>
      </c>
      <c r="K62" s="24" t="str">
        <f>HYPERLINK("#'Retirement'!BJ1","Q7.59")</f>
        <v>Q7.59</v>
      </c>
      <c r="L62" s="4" t="str">
        <f>HYPERLINK("#'Retirement'!BJ2","Company matching is capped")</f>
        <v>Company matching is capped</v>
      </c>
      <c r="M62" s="24" t="str">
        <f>HYPERLINK("#'Leaves'!BJ1","Q8.60_3_TEXT")</f>
        <v>Q8.60_3_TEXT</v>
      </c>
      <c r="N62" s="4" t="str">
        <f>HYPERLINK("#'Leaves'!BJ2","Other age limit of the adopted child")</f>
        <v>Other age limit of the adopted child</v>
      </c>
      <c r="O62" s="24" t="str">
        <f>HYPERLINK("#'Wellbeing'!BJ1","Q9.47_8_TEXT")</f>
        <v>Q9.47_8_TEXT</v>
      </c>
      <c r="P62" s="4" t="str">
        <f>HYPERLINK("#'Wellbeing'!BJ2","Other non-monetary wellbeing incentives offered")</f>
        <v>Other non-monetary wellbeing incentives offered</v>
      </c>
      <c r="Q62" s="24" t="str">
        <f>HYPERLINK("#'Transportation'!BJ1","Q10.28")</f>
        <v>Q10.28</v>
      </c>
      <c r="R62" s="4" t="str">
        <f>HYPERLINK("#'Transportation'!BJ2","Kilometer threshold at which eligible employees receive a new company vehicle")</f>
        <v>Kilometer threshold at which eligible employees receive a new company vehicle</v>
      </c>
      <c r="S62" s="33"/>
    </row>
    <row r="63" spans="3:19" ht="24.95" customHeight="1" x14ac:dyDescent="0.25">
      <c r="E63" s="31" t="str">
        <f>HYPERLINK("#'Dental &amp; Vision'!BK1","Q4.49_8_TEXT")</f>
        <v>Q4.49_8_TEXT</v>
      </c>
      <c r="F63" s="5" t="str">
        <f>HYPERLINK("#'Dental &amp; Vision'!BK2","Other types of coverage included in the vision benefits plan")</f>
        <v>Other types of coverage included in the vision benefits plan</v>
      </c>
      <c r="G63" s="24" t="str">
        <f>HYPERLINK("#'Life, AD&amp;D, Critical Illness'!BK1","Q5.54")</f>
        <v>Q5.54</v>
      </c>
      <c r="H63" s="4" t="str">
        <f>HYPERLINK("#'Life, AD&amp;D, Critical Illness'!BK2","How employee cost sharing is determined")</f>
        <v>How employee cost sharing is determined</v>
      </c>
      <c r="I63" s="32" t="str">
        <f>HYPERLINK("#'Sickness &amp; Disability'!BK1","Q6.57")</f>
        <v>Q6.57</v>
      </c>
      <c r="J63" s="36" t="str">
        <f>HYPERLINK("#'Sickness &amp; Disability'!BK2","Supplemental long-term disability benefit is capped")</f>
        <v>Supplemental long-term disability benefit is capped</v>
      </c>
      <c r="K63" s="24" t="str">
        <f>HYPERLINK("#'Retirement'!BK1","Q7.60")</f>
        <v>Q7.60</v>
      </c>
      <c r="L63" s="4" t="str">
        <f>HYPERLINK("#'Retirement'!BK2","How the company match is capped")</f>
        <v>How the company match is capped</v>
      </c>
      <c r="M63" s="24" t="str">
        <f>HYPERLINK("#'Leaves'!BK1","Q8.61")</f>
        <v>Q8.61</v>
      </c>
      <c r="N63" s="4" t="str">
        <f>HYPERLINK("#'Leaves'!BK2","How the supplemental adoption leave is paid")</f>
        <v>How the supplemental adoption leave is paid</v>
      </c>
      <c r="O63" s="24" t="str">
        <f>HYPERLINK("#'Wellbeing'!BK1","Q9.48")</f>
        <v>Q9.48</v>
      </c>
      <c r="P63" s="4" t="str">
        <f>HYPERLINK("#'Wellbeing'!BK2","How the impact of the wellbeing program is measured")</f>
        <v>How the impact of the wellbeing program is measured</v>
      </c>
      <c r="Q63" s="24" t="str">
        <f>HYPERLINK("#'Transportation'!BK1","Q10.29")</f>
        <v>Q10.29</v>
      </c>
      <c r="R63" s="4" t="str">
        <f>HYPERLINK("#'Transportation'!BK2","Duration of a typical lease")</f>
        <v>Duration of a typical lease</v>
      </c>
      <c r="S63" s="33"/>
    </row>
    <row r="64" spans="3:19" ht="24.95" customHeight="1" x14ac:dyDescent="0.25">
      <c r="E64" s="24" t="str">
        <f>HYPERLINK("#'Dental &amp; Vision'!BL1","Q4.50_1")</f>
        <v>Q4.50_1</v>
      </c>
      <c r="F64" s="4" t="str">
        <f>HYPERLINK("#'Dental &amp; Vision'!BL2","Frequency limit the plan allows - Basic lenses")</f>
        <v>Frequency limit the plan allows - Basic lenses</v>
      </c>
      <c r="G64" s="24" t="str">
        <f>HYPERLINK("#'Life, AD&amp;D, Critical Illness'!BL1","Q5.55")</f>
        <v>Q5.55</v>
      </c>
      <c r="H64" s="4" t="str">
        <f>HYPERLINK("#'Life, AD&amp;D, Critical Illness'!BL2","Monthly flat amount the employee is required to pay in CAD")</f>
        <v>Monthly flat amount the employee is required to pay in CAD</v>
      </c>
      <c r="I64" s="32" t="str">
        <f>HYPERLINK("#'Sickness &amp; Disability'!BL1","Q6.58")</f>
        <v>Q6.58</v>
      </c>
      <c r="J64" s="36" t="str">
        <f>HYPERLINK("#'Sickness &amp; Disability'!BL2","Monthly maximum benefit per employee in CAD")</f>
        <v>Monthly maximum benefit per employee in CAD</v>
      </c>
      <c r="K64" s="24" t="str">
        <f>HYPERLINK("#'Retirement'!BL1","Q7.61")</f>
        <v>Q7.61</v>
      </c>
      <c r="L64" s="4" t="str">
        <f>HYPERLINK("#'Retirement'!BL2","Maximum percentage the company matches")</f>
        <v>Maximum percentage the company matches</v>
      </c>
      <c r="M64" s="24" t="str">
        <f>HYPERLINK("#'Leaves'!BL1","Q8.62")</f>
        <v>Q8.62</v>
      </c>
      <c r="N64" s="4" t="str">
        <f>HYPERLINK("#'Leaves'!BL2","Number of weeks full pay for adoption leave is maintained")</f>
        <v>Number of weeks full pay for adoption leave is maintained</v>
      </c>
      <c r="O64" s="24" t="str">
        <f>HYPERLINK("#'Wellbeing'!BL1","Q9.48_14_TEXT")</f>
        <v>Q9.48_14_TEXT</v>
      </c>
      <c r="P64" s="4" t="str">
        <f>HYPERLINK("#'Wellbeing'!BL2","Other ways the impact of the wellbeing program is measured")</f>
        <v>Other ways the impact of the wellbeing program is measured</v>
      </c>
      <c r="Q64" s="24" t="str">
        <f>HYPERLINK("#'Transportation'!BL1","Q10.29_4_TEXT")</f>
        <v>Q10.29_4_TEXT</v>
      </c>
      <c r="R64" s="4" t="str">
        <f>HYPERLINK("#'Transportation'!BL2","Other duration of a typical lease")</f>
        <v>Other duration of a typical lease</v>
      </c>
      <c r="S64" s="33"/>
    </row>
    <row r="65" spans="5:19" ht="24.95" customHeight="1" x14ac:dyDescent="0.25">
      <c r="E65" s="24" t="str">
        <f>HYPERLINK("#'Dental &amp; Vision'!BM1","Q4.50_2")</f>
        <v>Q4.50_2</v>
      </c>
      <c r="F65" s="4" t="str">
        <f>HYPERLINK("#'Dental &amp; Vision'!BM2","Frequency limit the plan allows - Contacts")</f>
        <v>Frequency limit the plan allows - Contacts</v>
      </c>
      <c r="G65" s="24" t="str">
        <f>HYPERLINK("#'Life, AD&amp;D, Critical Illness'!BM1","Q5.56")</f>
        <v>Q5.56</v>
      </c>
      <c r="H65" s="4" t="str">
        <f>HYPERLINK("#'Life, AD&amp;D, Critical Illness'!BM2","Percentage the employee is required to pay")</f>
        <v>Percentage the employee is required to pay</v>
      </c>
      <c r="I65" s="32" t="str">
        <f>HYPERLINK("#'Sickness &amp; Disability'!BM1","Q6.59")</f>
        <v>Q6.59</v>
      </c>
      <c r="J65" s="36" t="str">
        <f>HYPERLINK("#'Sickness &amp; Disability'!BM2","Cost sharing for the supplemental long-term disability plan ")</f>
        <v xml:space="preserve">Cost sharing for the supplemental long-term disability plan </v>
      </c>
      <c r="K65" s="24" t="str">
        <f>HYPERLINK("#'Retirement'!BM1","Q7.62")</f>
        <v>Q7.62</v>
      </c>
      <c r="L65" s="4" t="str">
        <f>HYPERLINK("#'Retirement'!BM2","Maximum flat amount the company matches in CAD")</f>
        <v>Maximum flat amount the company matches in CAD</v>
      </c>
      <c r="M65" s="24" t="str">
        <f>HYPERLINK("#'Leaves'!BM1","Q8.63")</f>
        <v>Q8.63</v>
      </c>
      <c r="N65" s="4" t="str">
        <f>HYPERLINK("#'Leaves'!BM2","Percentage of salary maintained during adoption leave, including Employment Insurance/Quebec Parental Insurance Plan (EI/QPIP) benefits")</f>
        <v>Percentage of salary maintained during adoption leave, including Employment Insurance/Quebec Parental Insurance Plan (EI/QPIP) benefits</v>
      </c>
      <c r="O65" s="24" t="str">
        <f>HYPERLINK("#'Wellbeing'!BM1","Q9.49_1")</f>
        <v>Q9.49_1</v>
      </c>
      <c r="P65" s="4" t="str">
        <f>HYPERLINK("#'Wellbeing'!BM2","Participation rate for the program - Biometric screenings")</f>
        <v>Participation rate for the program - Biometric screenings</v>
      </c>
      <c r="Q65" s="24" t="str">
        <f>HYPERLINK("#'Transportation'!BM1","Q10.30")</f>
        <v>Q10.30</v>
      </c>
      <c r="R65" s="4" t="str">
        <f>HYPERLINK("#'Transportation'!BM2","Employees are permitted to purchase the vehicle once the lease agreement has ended")</f>
        <v>Employees are permitted to purchase the vehicle once the lease agreement has ended</v>
      </c>
      <c r="S65" s="33"/>
    </row>
    <row r="66" spans="5:19" ht="24.95" customHeight="1" x14ac:dyDescent="0.25">
      <c r="E66" s="24" t="str">
        <f>HYPERLINK("#'Dental &amp; Vision'!BN1","Q4.50_3")</f>
        <v>Q4.50_3</v>
      </c>
      <c r="F66" s="4" t="str">
        <f>HYPERLINK("#'Dental &amp; Vision'!BN2","Frequency limit the plan allows - Exams")</f>
        <v>Frequency limit the plan allows - Exams</v>
      </c>
      <c r="G66" s="24" t="str">
        <f>HYPERLINK("#'Life, AD&amp;D, Critical Illness'!BN1","Q5.57")</f>
        <v>Q5.57</v>
      </c>
      <c r="H66" s="4" t="str">
        <f>HYPERLINK("#'Life, AD&amp;D, Critical Illness'!BN2","Monthly flat amount of the company contribution in CAD")</f>
        <v>Monthly flat amount of the company contribution in CAD</v>
      </c>
      <c r="I66" s="32" t="str">
        <f>HYPERLINK("#'Sickness &amp; Disability'!BN1","Q6.60")</f>
        <v>Q6.60</v>
      </c>
      <c r="J66" s="36" t="str">
        <f>HYPERLINK("#'Sickness &amp; Disability'!BN2","How employee cost sharing is determined")</f>
        <v>How employee cost sharing is determined</v>
      </c>
      <c r="K66" s="24" t="str">
        <f>HYPERLINK("#'Retirement'!BN1","Q7.63")</f>
        <v>Q7.63</v>
      </c>
      <c r="L66" s="4" t="str">
        <f>HYPERLINK("#'Retirement'!BN2","Maximum other amount the company matches")</f>
        <v>Maximum other amount the company matches</v>
      </c>
      <c r="M66" s="24" t="str">
        <f>HYPERLINK("#'Leaves'!BN1","Q8.64")</f>
        <v>Q8.64</v>
      </c>
      <c r="N66" s="4" t="str">
        <f>HYPERLINK("#'Leaves'!BN2","Number of weeks partial pay above statutory requirements for adoption leave is maintained")</f>
        <v>Number of weeks partial pay above statutory requirements for adoption leave is maintained</v>
      </c>
      <c r="O66" s="24" t="str">
        <f>HYPERLINK("#'Wellbeing'!BN1","Q9.49_2")</f>
        <v>Q9.49_2</v>
      </c>
      <c r="P66" s="4" t="str">
        <f>HYPERLINK("#'Wellbeing'!BN2","Participation rate for the program - Chronic disease management and coaching")</f>
        <v>Participation rate for the program - Chronic disease management and coaching</v>
      </c>
      <c r="Q66" s="24" t="str">
        <f>HYPERLINK("#'Transportation'!BN1","Q10.30_4_TEXT")</f>
        <v>Q10.30_4_TEXT</v>
      </c>
      <c r="R66" s="4" t="str">
        <f>HYPERLINK("#'Transportation'!BN2","Other ways to determine whether employees are permitted to purchase the vehicle once the lease agreement has ended")</f>
        <v>Other ways to determine whether employees are permitted to purchase the vehicle once the lease agreement has ended</v>
      </c>
      <c r="S66" s="33"/>
    </row>
    <row r="67" spans="5:19" ht="24.95" customHeight="1" x14ac:dyDescent="0.25">
      <c r="E67" s="24" t="str">
        <f>HYPERLINK("#'Dental &amp; Vision'!BO1","Q4.50_4")</f>
        <v>Q4.50_4</v>
      </c>
      <c r="F67" s="4" t="str">
        <f>HYPERLINK("#'Dental &amp; Vision'!BO2","Frequency limit the plan allows - Frames")</f>
        <v>Frequency limit the plan allows - Frames</v>
      </c>
      <c r="G67" s="24" t="str">
        <f>HYPERLINK("#'Life, AD&amp;D, Critical Illness'!BO1","Q5.58")</f>
        <v>Q5.58</v>
      </c>
      <c r="H67" s="4" t="str">
        <f>HYPERLINK("#'Life, AD&amp;D, Critical Illness'!BO2","How cost sharing is determined")</f>
        <v>How cost sharing is determined</v>
      </c>
      <c r="I67" s="32" t="str">
        <f>HYPERLINK("#'Sickness &amp; Disability'!BO1","Q6.61")</f>
        <v>Q6.61</v>
      </c>
      <c r="J67" s="36" t="str">
        <f>HYPERLINK("#'Sickness &amp; Disability'!BO2","Monthly flat amount the employee is required to pay in CAD")</f>
        <v>Monthly flat amount the employee is required to pay in CAD</v>
      </c>
      <c r="K67" s="24" t="str">
        <f>HYPERLINK("#'Retirement'!BO1","Q7.64")</f>
        <v>Q7.64</v>
      </c>
      <c r="L67" s="4" t="str">
        <f>HYPERLINK("#'Retirement'!BO2","How the company participates in the Group RRSP plan")</f>
        <v>How the company participates in the Group RRSP plan</v>
      </c>
      <c r="M67" s="24" t="str">
        <f>HYPERLINK("#'Leaves'!BO1","Q8.65")</f>
        <v>Q8.65</v>
      </c>
      <c r="N67" s="4" t="str">
        <f>HYPERLINK("#'Leaves'!BO2","Number of additional unpaid weeks of adoption leave provided")</f>
        <v>Number of additional unpaid weeks of adoption leave provided</v>
      </c>
      <c r="O67" s="24" t="str">
        <f>HYPERLINK("#'Wellbeing'!BO1","Q9.49_3")</f>
        <v>Q9.49_3</v>
      </c>
      <c r="P67" s="4" t="str">
        <f>HYPERLINK("#'Wellbeing'!BO2","Participation rate for the program - Ergonomic assessments")</f>
        <v>Participation rate for the program - Ergonomic assessments</v>
      </c>
      <c r="Q67" s="24" t="str">
        <f>HYPERLINK("#'Transportation'!BO1","Q10.31")</f>
        <v>Q10.31</v>
      </c>
      <c r="R67" s="4" t="str">
        <f>HYPERLINK("#'Transportation'!BO2","Actions taken regarding company vehicles")</f>
        <v>Actions taken regarding company vehicles</v>
      </c>
      <c r="S67" s="33"/>
    </row>
    <row r="68" spans="5:19" ht="24.95" customHeight="1" x14ac:dyDescent="0.25">
      <c r="E68" s="24" t="str">
        <f>HYPERLINK("#'Dental &amp; Vision'!BP1","Q4.50_5")</f>
        <v>Q4.50_5</v>
      </c>
      <c r="F68" s="4" t="str">
        <f>HYPERLINK("#'Dental &amp; Vision'!BP2","Frequency limit the plan allows - Visual Display Unit (VDU)")</f>
        <v>Frequency limit the plan allows - Visual Display Unit (VDU)</v>
      </c>
      <c r="G68" s="24" t="str">
        <f>HYPERLINK("#'Life, AD&amp;D, Critical Illness'!BP1","Q5.60")</f>
        <v>Q5.60</v>
      </c>
      <c r="H68" s="4" t="str">
        <f>HYPERLINK("#'Life, AD&amp;D, Critical Illness'!BP2","Approach to insuring the AD&amp;D benefit coverage")</f>
        <v>Approach to insuring the AD&amp;D benefit coverage</v>
      </c>
      <c r="I68" s="32" t="str">
        <f>HYPERLINK("#'Sickness &amp; Disability'!BP1","Q6.62")</f>
        <v>Q6.62</v>
      </c>
      <c r="J68" s="36" t="str">
        <f>HYPERLINK("#'Sickness &amp; Disability'!BP2","Percentage the employee is required to pay")</f>
        <v>Percentage the employee is required to pay</v>
      </c>
      <c r="K68" s="24" t="str">
        <f>HYPERLINK("#'Retirement'!BP1","Q7.66")</f>
        <v>Q7.66</v>
      </c>
      <c r="L68" s="4" t="str">
        <f>HYPERLINK("#'Retirement'!BP2","Company's participation in the Group TFSA plan")</f>
        <v>Company's participation in the Group TFSA plan</v>
      </c>
      <c r="M68" s="24" t="str">
        <f>HYPERLINK("#'Leaves'!BP1","Q8.67")</f>
        <v>Q8.67</v>
      </c>
      <c r="N68" s="4" t="str">
        <f>HYPERLINK("#'Leaves'!BP2","Have a waiting period for participation in supplemental caregiver leave for new employees")</f>
        <v>Have a waiting period for participation in supplemental caregiver leave for new employees</v>
      </c>
      <c r="O68" s="24" t="str">
        <f>HYPERLINK("#'Wellbeing'!BP1","Q9.49_4")</f>
        <v>Q9.49_4</v>
      </c>
      <c r="P68" s="4" t="str">
        <f>HYPERLINK("#'Wellbeing'!BP2","Participation rate for the program - Flu shots and vaccinations")</f>
        <v>Participation rate for the program - Flu shots and vaccinations</v>
      </c>
      <c r="Q68" s="24" t="str">
        <f>HYPERLINK("#'Transportation'!BP1","Q10.31_7_TEXT")</f>
        <v>Q10.31_7_TEXT</v>
      </c>
      <c r="R68" s="4" t="str">
        <f>HYPERLINK("#'Transportation'!BP2","Other actions taken regarding company vehicles")</f>
        <v>Other actions taken regarding company vehicles</v>
      </c>
      <c r="S68" s="33"/>
    </row>
    <row r="69" spans="5:19" ht="24.95" customHeight="1" x14ac:dyDescent="0.25">
      <c r="E69" s="24" t="str">
        <f>HYPERLINK("#'Dental &amp; Vision'!BQ1","Q4.50_6")</f>
        <v>Q4.50_6</v>
      </c>
      <c r="F69" s="4" t="str">
        <f>HYPERLINK("#'Dental &amp; Vision'!BQ2","Frequency limit the plan allows - Other")</f>
        <v>Frequency limit the plan allows - Other</v>
      </c>
      <c r="G69" s="24" t="str">
        <f>HYPERLINK("#'Life, AD&amp;D, Critical Illness'!BQ1","Q5.60_5_TEXT")</f>
        <v>Q5.60_5_TEXT</v>
      </c>
      <c r="H69" s="4" t="str">
        <f>HYPERLINK("#'Life, AD&amp;D, Critical Illness'!BQ2","Other way the AD&amp;D benefit is insured")</f>
        <v>Other way the AD&amp;D benefit is insured</v>
      </c>
      <c r="I69" s="32" t="str">
        <f>HYPERLINK("#'Sickness &amp; Disability'!BQ1","Q6.63")</f>
        <v>Q6.63</v>
      </c>
      <c r="J69" s="36" t="str">
        <f>HYPERLINK("#'Sickness &amp; Disability'!BQ2","Monthly flat amount of the company contribution in CAD")</f>
        <v>Monthly flat amount of the company contribution in CAD</v>
      </c>
      <c r="K69" s="24" t="str">
        <f>HYPERLINK("#'Retirement'!BQ1","Q7.67")</f>
        <v>Q7.67</v>
      </c>
      <c r="L69" s="4" t="str">
        <f>HYPERLINK("#'Retirement'!BQ2","Types of compensation used in calculating contributions")</f>
        <v>Types of compensation used in calculating contributions</v>
      </c>
      <c r="M69" s="24" t="str">
        <f>HYPERLINK("#'Leaves'!BQ1","Q8.68")</f>
        <v>Q8.68</v>
      </c>
      <c r="N69" s="4" t="str">
        <f>HYPERLINK("#'Leaves'!BQ2","Waiting period (days) for all employees")</f>
        <v>Waiting period (days) for all employees</v>
      </c>
      <c r="O69" s="24" t="str">
        <f>HYPERLINK("#'Wellbeing'!BQ1","Q9.49_5")</f>
        <v>Q9.49_5</v>
      </c>
      <c r="P69" s="4" t="str">
        <f>HYPERLINK("#'Wellbeing'!BQ2","Participation rate for the program - Fitness/wellness challenges")</f>
        <v>Participation rate for the program - Fitness/wellness challenges</v>
      </c>
      <c r="Q69" s="24" t="str">
        <f>HYPERLINK("#'Transportation'!BQ1","Q10.33")</f>
        <v>Q10.33</v>
      </c>
      <c r="R69" s="4" t="str">
        <f>HYPERLINK("#'Transportation'!BQ2","Employees provided with a personal car and driver")</f>
        <v>Employees provided with a personal car and driver</v>
      </c>
      <c r="S69" s="33"/>
    </row>
    <row r="70" spans="5:19" ht="24.95" customHeight="1" x14ac:dyDescent="0.25">
      <c r="E70" s="24" t="str">
        <f>HYPERLINK("#'Dental &amp; Vision'!BR1","Q4.51")</f>
        <v>Q4.51</v>
      </c>
      <c r="F70" s="4" t="str">
        <f>HYPERLINK("#'Dental &amp; Vision'!BR2","Other frequency limits")</f>
        <v>Other frequency limits</v>
      </c>
      <c r="G70" s="24" t="str">
        <f>HYPERLINK("#'Life, AD&amp;D, Critical Illness'!BR1","Q5.61")</f>
        <v>Q5.61</v>
      </c>
      <c r="H70" s="4" t="str">
        <f>HYPERLINK("#'Life, AD&amp;D, Critical Illness'!BR2","Type of carrier insured AD&amp;D policy")</f>
        <v>Type of carrier insured AD&amp;D policy</v>
      </c>
      <c r="I70" s="32" t="str">
        <f>HYPERLINK("#'Sickness &amp; Disability'!BR1","Q6.64")</f>
        <v>Q6.64</v>
      </c>
      <c r="J70" s="36" t="str">
        <f>HYPERLINK("#'Sickness &amp; Disability'!BR2","How cost sharing is determined")</f>
        <v>How cost sharing is determined</v>
      </c>
      <c r="K70" s="24" t="str">
        <f>HYPERLINK("#'Retirement'!BR1","Q7.67_8_TEXT")</f>
        <v>Q7.67_8_TEXT</v>
      </c>
      <c r="L70" s="4" t="str">
        <f>HYPERLINK("#'Retirement'!BR2","Other types of compensation used in calculating contributions")</f>
        <v>Other types of compensation used in calculating contributions</v>
      </c>
      <c r="M70" s="24" t="str">
        <f>HYPERLINK("#'Leaves'!BR1","Q8.69")</f>
        <v>Q8.69</v>
      </c>
      <c r="N70" s="4" t="str">
        <f>HYPERLINK("#'Leaves'!BR2","Waiting period (days) for each employee group")</f>
        <v>Waiting period (days) for each employee group</v>
      </c>
      <c r="O70" s="24" t="str">
        <f>HYPERLINK("#'Wellbeing'!BR1","Q9.49_6")</f>
        <v>Q9.49_6</v>
      </c>
      <c r="P70" s="4" t="str">
        <f>HYPERLINK("#'Wellbeing'!BR2","Participation rate for the program - Health screening")</f>
        <v>Participation rate for the program - Health screening</v>
      </c>
      <c r="Q70" s="24" t="str">
        <f>HYPERLINK("#'Transportation'!BR1","Q10.33_7_TEXT")</f>
        <v>Q10.33_7_TEXT</v>
      </c>
      <c r="R70" s="4" t="str">
        <f>HYPERLINK("#'Transportation'!BR2","Other employees provided with a personal car and driver")</f>
        <v>Other employees provided with a personal car and driver</v>
      </c>
      <c r="S70" s="33"/>
    </row>
    <row r="71" spans="5:19" ht="24.95" customHeight="1" x14ac:dyDescent="0.25">
      <c r="E71" s="24" t="str">
        <f>HYPERLINK("#'Dental &amp; Vision'!BS1","Q4.52_1_6")</f>
        <v>Q4.52_1_6</v>
      </c>
      <c r="F71" s="4" t="str">
        <f>HYPERLINK("#'Dental &amp; Vision'!BS2","Maximum amount (CAD) per frequency - Basic lenses")</f>
        <v>Maximum amount (CAD) per frequency - Basic lenses</v>
      </c>
      <c r="G71" s="24" t="str">
        <f>HYPERLINK("#'Life, AD&amp;D, Critical Illness'!BS1","Q5.61_6_TEXT")</f>
        <v>Q5.61_6_TEXT</v>
      </c>
      <c r="H71" s="4" t="str">
        <f>HYPERLINK("#'Life, AD&amp;D, Critical Illness'!BS2","Other type of carrier insured AD&amp;D policy")</f>
        <v>Other type of carrier insured AD&amp;D policy</v>
      </c>
      <c r="I71" s="32" t="str">
        <f>HYPERLINK("#'Sickness &amp; Disability'!BS1","Q6.66")</f>
        <v>Q6.66</v>
      </c>
      <c r="J71" s="36" t="str">
        <f>HYPERLINK("#'Sickness &amp; Disability'!BS2","Approach to insuring the supplemental long-term disability benefit")</f>
        <v>Approach to insuring the supplemental long-term disability benefit</v>
      </c>
      <c r="K71" s="24" t="str">
        <f>HYPERLINK("#'Retirement'!BS1","Q7.68")</f>
        <v>Q7.68</v>
      </c>
      <c r="L71" s="4" t="str">
        <f>HYPERLINK("#'Retirement'!BS2","Percentage the company automatically contributes to the Group TFSA plan")</f>
        <v>Percentage the company automatically contributes to the Group TFSA plan</v>
      </c>
      <c r="M71" s="24" t="str">
        <f>HYPERLINK("#'Leaves'!BS1","Q8.70")</f>
        <v>Q8.70</v>
      </c>
      <c r="N71" s="4" t="str">
        <f>HYPERLINK("#'Leaves'!BS2","Relationships that qualify for caregiver leave")</f>
        <v>Relationships that qualify for caregiver leave</v>
      </c>
      <c r="O71" s="24" t="str">
        <f>HYPERLINK("#'Wellbeing'!BS1","Q9.49_7")</f>
        <v>Q9.49_7</v>
      </c>
      <c r="P71" s="4" t="str">
        <f>HYPERLINK("#'Wellbeing'!BS2","Participation rate for the program - Smoking cessation program")</f>
        <v>Participation rate for the program - Smoking cessation program</v>
      </c>
      <c r="Q71" s="24" t="str">
        <f>HYPERLINK("#'Transportation'!BS1","Q10.34")</f>
        <v>Q10.34</v>
      </c>
      <c r="R71" s="4" t="str">
        <f>HYPERLINK("#'Transportation'!BS2","Why the company provides employees with a personal car and driver")</f>
        <v>Why the company provides employees with a personal car and driver</v>
      </c>
      <c r="S71" s="33"/>
    </row>
    <row r="72" spans="5:19" ht="24.95" customHeight="1" x14ac:dyDescent="0.25">
      <c r="E72" s="24" t="str">
        <f>HYPERLINK("#'Dental &amp; Vision'!BT1","Q4.52_2_6")</f>
        <v>Q4.52_2_6</v>
      </c>
      <c r="F72" s="4" t="str">
        <f>HYPERLINK("#'Dental &amp; Vision'!BT2","Maximum amount (CAD) per frequency - Contacts")</f>
        <v>Maximum amount (CAD) per frequency - Contacts</v>
      </c>
      <c r="G72" s="24" t="str">
        <f>HYPERLINK("#'Life, AD&amp;D, Critical Illness'!BT1","Q5.62")</f>
        <v>Q5.62</v>
      </c>
      <c r="H72" s="4" t="str">
        <f>HYPERLINK("#'Life, AD&amp;D, Critical Illness'!BT2","Other policy that the carrier insured AD&amp;D policy is a rider to")</f>
        <v>Other policy that the carrier insured AD&amp;D policy is a rider to</v>
      </c>
      <c r="I72" s="32" t="str">
        <f>HYPERLINK("#'Sickness &amp; Disability'!BT1","Q6.66_3_TEXT")</f>
        <v>Q6.66_3_TEXT</v>
      </c>
      <c r="J72" s="36" t="str">
        <f>HYPERLINK("#'Sickness &amp; Disability'!BT2","Other way the supplemental long-term disability benefit is insured")</f>
        <v>Other way the supplemental long-term disability benefit is insured</v>
      </c>
      <c r="K72" s="24" t="str">
        <f>HYPERLINK("#'Retirement'!BT1","Q7.69")</f>
        <v>Q7.69</v>
      </c>
      <c r="L72" s="4" t="str">
        <f>HYPERLINK("#'Retirement'!BT2","Percentage of employee-paid contributions the company matches")</f>
        <v>Percentage of employee-paid contributions the company matches</v>
      </c>
      <c r="M72" s="24" t="str">
        <f>HYPERLINK("#'Leaves'!BT1","Q8.70_20_TEXT")</f>
        <v>Q8.70_20_TEXT</v>
      </c>
      <c r="N72" s="4" t="str">
        <f>HYPERLINK("#'Leaves'!BT2","Other relationships that qualify for caregiver leave")</f>
        <v>Other relationships that qualify for caregiver leave</v>
      </c>
      <c r="O72" s="24" t="str">
        <f>HYPERLINK("#'Wellbeing'!BT1","Q9.49_8")</f>
        <v>Q9.49_8</v>
      </c>
      <c r="P72" s="4" t="str">
        <f>HYPERLINK("#'Wellbeing'!BT2","Participation rate for the program - Weight loss program")</f>
        <v>Participation rate for the program - Weight loss program</v>
      </c>
      <c r="Q72" s="24" t="str">
        <f>HYPERLINK("#'Transportation'!BT1","Q10.34_9_TEXT")</f>
        <v>Q10.34_9_TEXT</v>
      </c>
      <c r="R72" s="4" t="str">
        <f>HYPERLINK("#'Transportation'!BT2","Other reason the company provides employees with a personal car and driver")</f>
        <v>Other reason the company provides employees with a personal car and driver</v>
      </c>
      <c r="S72" s="33"/>
    </row>
    <row r="73" spans="5:19" ht="24.95" customHeight="1" x14ac:dyDescent="0.25">
      <c r="E73" s="24" t="str">
        <f>HYPERLINK("#'Dental &amp; Vision'!BU1","Q4.52_3_6")</f>
        <v>Q4.52_3_6</v>
      </c>
      <c r="F73" s="4" t="str">
        <f>HYPERLINK("#'Dental &amp; Vision'!BU2","Maximum amount (CAD) per frequency - Exams")</f>
        <v>Maximum amount (CAD) per frequency - Exams</v>
      </c>
      <c r="G73" s="24" t="str">
        <f>HYPERLINK("#'Life, AD&amp;D, Critical Illness'!BU1","Q5.63")</f>
        <v>Q5.63</v>
      </c>
      <c r="H73" s="4" t="str">
        <f>HYPERLINK("#'Life, AD&amp;D, Critical Illness'!BU2","Vendor for the most prevalent AD&amp;D benefit")</f>
        <v>Vendor for the most prevalent AD&amp;D benefit</v>
      </c>
      <c r="I73" s="32" t="str">
        <f>HYPERLINK("#'Sickness &amp; Disability'!BU1","Q6.67")</f>
        <v>Q6.67</v>
      </c>
      <c r="J73" s="36" t="str">
        <f>HYPERLINK("#'Sickness &amp; Disability'!BU2","Type of carrier insured supplemental long-term disability policy")</f>
        <v>Type of carrier insured supplemental long-term disability policy</v>
      </c>
      <c r="K73" s="24" t="str">
        <f>HYPERLINK("#'Retirement'!BU1","Q7.70")</f>
        <v>Q7.70</v>
      </c>
      <c r="L73" s="4" t="str">
        <f>HYPERLINK("#'Retirement'!BU2","Company matching is capped")</f>
        <v>Company matching is capped</v>
      </c>
      <c r="M73" s="24" t="str">
        <f>HYPERLINK("#'Leaves'!BU1","Q8.71")</f>
        <v>Q8.71</v>
      </c>
      <c r="N73" s="4" t="str">
        <f>HYPERLINK("#'Leaves'!BU2","How the supplemental caregiver leave is paid")</f>
        <v>How the supplemental caregiver leave is paid</v>
      </c>
      <c r="O73" s="24" t="str">
        <f>HYPERLINK("#'Wellbeing'!BU1","Q9.50_1")</f>
        <v>Q9.50_1</v>
      </c>
      <c r="P73" s="4" t="str">
        <f>HYPERLINK("#'Wellbeing'!BU2","Participation rate for the wellbeing app - Digital coaching")</f>
        <v>Participation rate for the wellbeing app - Digital coaching</v>
      </c>
      <c r="Q73" s="24" t="str">
        <f>HYPERLINK("#'Transportation'!BU1","Q10.35")</f>
        <v>Q10.35</v>
      </c>
      <c r="R73" s="4" t="str">
        <f>HYPERLINK("#'Transportation'!BU2","Limitations placed on an employee's use of personal car and driver")</f>
        <v>Limitations placed on an employee's use of personal car and driver</v>
      </c>
      <c r="S73" s="33"/>
    </row>
    <row r="74" spans="5:19" ht="24.95" customHeight="1" x14ac:dyDescent="0.25">
      <c r="E74" s="24" t="str">
        <f>HYPERLINK("#'Dental &amp; Vision'!BV1","Q4.52_4_6")</f>
        <v>Q4.52_4_6</v>
      </c>
      <c r="F74" s="4" t="str">
        <f>HYPERLINK("#'Dental &amp; Vision'!BV2","Maximum amount (CAD) per frequency - Frames")</f>
        <v>Maximum amount (CAD) per frequency - Frames</v>
      </c>
      <c r="G74" s="24" t="str">
        <f>HYPERLINK("#'Life, AD&amp;D, Critical Illness'!BV1","Q5.63_9_TEXT")</f>
        <v>Q5.63_9_TEXT</v>
      </c>
      <c r="H74" s="4" t="str">
        <f>HYPERLINK("#'Life, AD&amp;D, Critical Illness'!BV2","Other vendor for the most prevalent AD&amp;D benefit")</f>
        <v>Other vendor for the most prevalent AD&amp;D benefit</v>
      </c>
      <c r="I74" s="32" t="str">
        <f>HYPERLINK("#'Sickness &amp; Disability'!BV1","Q6.67_6_TEXT")</f>
        <v>Q6.67_6_TEXT</v>
      </c>
      <c r="J74" s="36" t="str">
        <f>HYPERLINK("#'Sickness &amp; Disability'!BV2","Other type of carrier insured supplemental long-term disability policy")</f>
        <v>Other type of carrier insured supplemental long-term disability policy</v>
      </c>
      <c r="K74" s="24" t="str">
        <f>HYPERLINK("#'Retirement'!BV1","Q7.71")</f>
        <v>Q7.71</v>
      </c>
      <c r="L74" s="4" t="str">
        <f>HYPERLINK("#'Retirement'!BV2","How the company match is capped")</f>
        <v>How the company match is capped</v>
      </c>
      <c r="M74" s="24" t="str">
        <f>HYPERLINK("#'Leaves'!BV1","Q8.72")</f>
        <v>Q8.72</v>
      </c>
      <c r="N74" s="4" t="str">
        <f>HYPERLINK("#'Leaves'!BV2","Number of days full pay for caregiver leave is maintained")</f>
        <v>Number of days full pay for caregiver leave is maintained</v>
      </c>
      <c r="O74" s="24" t="str">
        <f>HYPERLINK("#'Wellbeing'!BV1","Q9.50_2")</f>
        <v>Q9.50_2</v>
      </c>
      <c r="P74" s="4" t="str">
        <f>HYPERLINK("#'Wellbeing'!BV2","Participation rate for the wellbeing app - Digital fitness app")</f>
        <v>Participation rate for the wellbeing app - Digital fitness app</v>
      </c>
      <c r="Q74" s="24" t="str">
        <f>HYPERLINK("#'Transportation'!BV1","Q10.35_6_TEXT")</f>
        <v>Q10.35_6_TEXT</v>
      </c>
      <c r="R74" s="4" t="str">
        <f>HYPERLINK("#'Transportation'!BV2","Other limitations placed on an employee's use of personal car and driver")</f>
        <v>Other limitations placed on an employee's use of personal car and driver</v>
      </c>
      <c r="S74" s="33"/>
    </row>
    <row r="75" spans="5:19" ht="24.95" customHeight="1" x14ac:dyDescent="0.25">
      <c r="E75" s="24" t="str">
        <f>HYPERLINK("#'Dental &amp; Vision'!BW1","Q4.52_5_6")</f>
        <v>Q4.52_5_6</v>
      </c>
      <c r="F75" s="4" t="str">
        <f>HYPERLINK("#'Dental &amp; Vision'!BW2","Maximum amount (CAD) per frequency - Visual Display Unit (VDU)")</f>
        <v>Maximum amount (CAD) per frequency - Visual Display Unit (VDU)</v>
      </c>
      <c r="G75" s="24" t="str">
        <f>HYPERLINK("#'Life, AD&amp;D, Critical Illness'!BW1","Q5.65")</f>
        <v>Q5.65</v>
      </c>
      <c r="H75" s="4" t="str">
        <f>HYPERLINK("#'Life, AD&amp;D, Critical Illness'!BW2","Type of critical illness or dread disease benefits offered to employees")</f>
        <v>Type of critical illness or dread disease benefits offered to employees</v>
      </c>
      <c r="I75" s="32" t="str">
        <f>HYPERLINK("#'Sickness &amp; Disability'!BW1","Q6.68")</f>
        <v>Q6.68</v>
      </c>
      <c r="J75" s="36" t="str">
        <f>HYPERLINK("#'Sickness &amp; Disability'!BW2","Other policy that the carrier insured supplemental long-term disability policy is a rider to")</f>
        <v>Other policy that the carrier insured supplemental long-term disability policy is a rider to</v>
      </c>
      <c r="K75" s="24" t="str">
        <f>HYPERLINK("#'Retirement'!BW1","Q7.72")</f>
        <v>Q7.72</v>
      </c>
      <c r="L75" s="4" t="str">
        <f>HYPERLINK("#'Retirement'!BW2","Maximum percentage the company matches")</f>
        <v>Maximum percentage the company matches</v>
      </c>
      <c r="M75" s="24" t="str">
        <f>HYPERLINK("#'Leaves'!BW1","Q8.73")</f>
        <v>Q8.73</v>
      </c>
      <c r="N75" s="4" t="str">
        <f>HYPERLINK("#'Leaves'!BW2","Percentage of salary maintained during caregiver leave")</f>
        <v>Percentage of salary maintained during caregiver leave</v>
      </c>
      <c r="O75" s="24" t="str">
        <f>HYPERLINK("#'Wellbeing'!BW1","Q9.50_3")</f>
        <v>Q9.50_3</v>
      </c>
      <c r="P75" s="4" t="str">
        <f>HYPERLINK("#'Wellbeing'!BW2","Participation rate for the wellbeing app - Mindfulness app")</f>
        <v>Participation rate for the wellbeing app - Mindfulness app</v>
      </c>
      <c r="Q75" s="24" t="str">
        <f>HYPERLINK("#'Transportation'!BW1","Q10.37")</f>
        <v>Q10.37</v>
      </c>
      <c r="R75" s="4" t="str">
        <f>HYPERLINK("#'Transportation'!BW2","Provide prearranged employee transportation in all locations in Canada")</f>
        <v>Provide prearranged employee transportation in all locations in Canada</v>
      </c>
      <c r="S75" s="33"/>
    </row>
    <row r="76" spans="5:19" ht="24.95" customHeight="1" thickBot="1" x14ac:dyDescent="0.3">
      <c r="E76" s="24" t="str">
        <f>HYPERLINK("#'Dental &amp; Vision'!BX1","Q4.52_6_6")</f>
        <v>Q4.52_6_6</v>
      </c>
      <c r="F76" s="4" t="str">
        <f>HYPERLINK("#'Dental &amp; Vision'!BX2","Maximum amount (CAD) per frequency - Other")</f>
        <v>Maximum amount (CAD) per frequency - Other</v>
      </c>
      <c r="G76" s="24" t="str">
        <f>HYPERLINK("#'Life, AD&amp;D, Critical Illness'!BX1","Q5.66")</f>
        <v>Q5.66</v>
      </c>
      <c r="H76" s="4" t="str">
        <f>HYPERLINK("#'Life, AD&amp;D, Critical Illness'!BX2","Who is covered under the company-provided basic critical illness benefit")</f>
        <v>Who is covered under the company-provided basic critical illness benefit</v>
      </c>
      <c r="I76" s="32" t="str">
        <f>HYPERLINK("#'Sickness &amp; Disability'!BX1","Q6.69")</f>
        <v>Q6.69</v>
      </c>
      <c r="J76" s="36" t="str">
        <f>HYPERLINK("#'Sickness &amp; Disability'!BX2","Vendor for the most prevalent long-term disability benefit")</f>
        <v>Vendor for the most prevalent long-term disability benefit</v>
      </c>
      <c r="K76" s="24" t="str">
        <f>HYPERLINK("#'Retirement'!BX1","Q7.73")</f>
        <v>Q7.73</v>
      </c>
      <c r="L76" s="4" t="str">
        <f>HYPERLINK("#'Retirement'!BX2","Maximum flat amount the company matches in CAD")</f>
        <v>Maximum flat amount the company matches in CAD</v>
      </c>
      <c r="M76" s="24" t="str">
        <f>HYPERLINK("#'Leaves'!BX1","Q8.74")</f>
        <v>Q8.74</v>
      </c>
      <c r="N76" s="4" t="str">
        <f>HYPERLINK("#'Leaves'!BX2","Number of days partial pay above statutory requirements for caregiver leave is maintained")</f>
        <v>Number of days partial pay above statutory requirements for caregiver leave is maintained</v>
      </c>
      <c r="O76" s="29" t="str">
        <f>HYPERLINK("#'Wellbeing'!BX1","Q9.50_4")</f>
        <v>Q9.50_4</v>
      </c>
      <c r="P76" s="26" t="str">
        <f>HYPERLINK("#'Wellbeing'!BX2","Participation rate for the wellbeing app - Wellbeing portal/platform")</f>
        <v>Participation rate for the wellbeing app - Wellbeing portal/platform</v>
      </c>
      <c r="Q76" s="24" t="str">
        <f>HYPERLINK("#'Transportation'!BX1","Q10.38")</f>
        <v>Q10.38</v>
      </c>
      <c r="R76" s="4" t="str">
        <f>HYPERLINK("#'Transportation'!BX2","Why the company provides regular prearranged employee transportation to and from the office")</f>
        <v>Why the company provides regular prearranged employee transportation to and from the office</v>
      </c>
      <c r="S76" s="33"/>
    </row>
    <row r="77" spans="5:19" ht="24.95" customHeight="1" x14ac:dyDescent="0.25">
      <c r="E77" s="31" t="str">
        <f>HYPERLINK("#'Dental &amp; Vision'!BY1","Q4.53")</f>
        <v>Q4.53</v>
      </c>
      <c r="F77" s="5" t="str">
        <f>HYPERLINK("#'Dental &amp; Vision'!BY2","Benefits provided to dependents are the same as those provided to employees")</f>
        <v>Benefits provided to dependents are the same as those provided to employees</v>
      </c>
      <c r="G77" s="24" t="str">
        <f>HYPERLINK("#'Life, AD&amp;D, Critical Illness'!BY1","Q5.67")</f>
        <v>Q5.67</v>
      </c>
      <c r="H77" s="4" t="str">
        <f>HYPERLINK("#'Life, AD&amp;D, Critical Illness'!BY2","Dependents eligible to participate in the company-provided basic critical illness benefit plan")</f>
        <v>Dependents eligible to participate in the company-provided basic critical illness benefit plan</v>
      </c>
      <c r="I77" s="32" t="str">
        <f>HYPERLINK("#'Sickness &amp; Disability'!BY1","Q6.69_9_TEXT")</f>
        <v>Q6.69_9_TEXT</v>
      </c>
      <c r="J77" s="36" t="str">
        <f>HYPERLINK("#'Sickness &amp; Disability'!BY2","Other vendor for the most prevalent long-term disability benefit")</f>
        <v>Other vendor for the most prevalent long-term disability benefit</v>
      </c>
      <c r="K77" s="24" t="str">
        <f>HYPERLINK("#'Retirement'!BY1","Q7.74")</f>
        <v>Q7.74</v>
      </c>
      <c r="L77" s="4" t="str">
        <f>HYPERLINK("#'Retirement'!BY2","Maximum other amount the company matches")</f>
        <v>Maximum other amount the company matches</v>
      </c>
      <c r="M77" s="24" t="str">
        <f>HYPERLINK("#'Leaves'!BY1","Q8.75")</f>
        <v>Q8.75</v>
      </c>
      <c r="N77" s="4" t="str">
        <f>HYPERLINK("#'Leaves'!BY2","Number of additional unpaid days of caregiver leave provided")</f>
        <v>Number of additional unpaid days of caregiver leave provided</v>
      </c>
      <c r="O77" s="35"/>
      <c r="P77" s="30"/>
      <c r="Q77" s="24" t="str">
        <f>HYPERLINK("#'Transportation'!BY1","Q10.38_9_TEXT")</f>
        <v>Q10.38_9_TEXT</v>
      </c>
      <c r="R77" s="4" t="str">
        <f>HYPERLINK("#'Transportation'!BY2","Other reason the company provides regular prearranged employee transportation to and from the office")</f>
        <v>Other reason the company provides regular prearranged employee transportation to and from the office</v>
      </c>
      <c r="S77" s="33"/>
    </row>
    <row r="78" spans="5:19" ht="24.95" customHeight="1" x14ac:dyDescent="0.25">
      <c r="E78" s="24" t="str">
        <f>HYPERLINK("#'Dental &amp; Vision'!BZ1","Q4.54")</f>
        <v>Q4.54</v>
      </c>
      <c r="F78" s="4" t="str">
        <f>HYPERLINK("#'Dental &amp; Vision'!BZ2","How benefits provided to dependents differ from those provided to employees")</f>
        <v>How benefits provided to dependents differ from those provided to employees</v>
      </c>
      <c r="G78" s="24" t="str">
        <f>HYPERLINK("#'Life, AD&amp;D, Critical Illness'!BZ1","Q5.67_8_TEXT")</f>
        <v>Q5.67_8_TEXT</v>
      </c>
      <c r="H78" s="4" t="str">
        <f>HYPERLINK("#'Life, AD&amp;D, Critical Illness'!BZ2","Other dependents eligible to participate in the company-provided basic critical illness benefit plan")</f>
        <v>Other dependents eligible to participate in the company-provided basic critical illness benefit plan</v>
      </c>
      <c r="I78" s="32" t="str">
        <f>HYPERLINK("#'Sickness &amp; Disability'!BZ1","Q6.71")</f>
        <v>Q6.71</v>
      </c>
      <c r="J78" s="36" t="str">
        <f>HYPERLINK("#'Sickness &amp; Disability'!BZ2","Company offers some type of supplemental total permanent disability benefit, paid as a lump sum")</f>
        <v>Company offers some type of supplemental total permanent disability benefit, paid as a lump sum</v>
      </c>
      <c r="K78" s="24" t="str">
        <f>HYPERLINK("#'Retirement'!BZ1","Q7.75")</f>
        <v>Q7.75</v>
      </c>
      <c r="L78" s="4" t="str">
        <f>HYPERLINK("#'Retirement'!BZ2","How the company participates in the Group TFSA plan")</f>
        <v>How the company participates in the Group TFSA plan</v>
      </c>
      <c r="M78" s="24" t="str">
        <f>HYPERLINK("#'Leaves'!BZ1","Q8.76")</f>
        <v>Q8.76</v>
      </c>
      <c r="N78" s="4" t="str">
        <f>HYPERLINK("#'Leaves'!BZ2","Caregiver leave policy requires proof (e.g., doctor's note)")</f>
        <v>Caregiver leave policy requires proof (e.g., doctor's note)</v>
      </c>
      <c r="O78" s="33"/>
      <c r="Q78" s="24" t="str">
        <f>HYPERLINK("#'Transportation'!BZ1","Q10.40")</f>
        <v>Q10.40</v>
      </c>
      <c r="R78" s="4" t="str">
        <f>HYPERLINK("#'Transportation'!BZ2","Employees provided with subsidized or free parking")</f>
        <v>Employees provided with subsidized or free parking</v>
      </c>
      <c r="S78" s="33"/>
    </row>
    <row r="79" spans="5:19" ht="24.95" customHeight="1" x14ac:dyDescent="0.25">
      <c r="E79" s="24" t="str">
        <f>HYPERLINK("#'Dental &amp; Vision'!CA1","Q4.55")</f>
        <v>Q4.55</v>
      </c>
      <c r="F79" s="4" t="str">
        <f>HYPERLINK("#'Dental &amp; Vision'!CA2","How the vision benefit is paid for employee cover only (not dependents)")</f>
        <v>How the vision benefit is paid for employee cover only (not dependents)</v>
      </c>
      <c r="G79" s="24" t="str">
        <f>HYPERLINK("#'Life, AD&amp;D, Critical Illness'!CA1","Q5.68")</f>
        <v>Q5.68</v>
      </c>
      <c r="H79" s="4" t="str">
        <f>HYPERLINK("#'Life, AD&amp;D, Critical Illness'!CA2","Have a waiting period for participation in the critical illness plan for new employees")</f>
        <v>Have a waiting period for participation in the critical illness plan for new employees</v>
      </c>
      <c r="I79" s="32" t="str">
        <f>HYPERLINK("#'Sickness &amp; Disability'!CA1","Q6.72")</f>
        <v>Q6.72</v>
      </c>
      <c r="J79" s="36" t="str">
        <f>HYPERLINK("#'Sickness &amp; Disability'!CA2","Have a waiting period for participation for new employees")</f>
        <v>Have a waiting period for participation for new employees</v>
      </c>
      <c r="K79" s="24" t="str">
        <f>HYPERLINK("#'Retirement'!CA1","Q7.77")</f>
        <v>Q7.77</v>
      </c>
      <c r="L79" s="4" t="str">
        <f>HYPERLINK("#'Retirement'!CA2","Other retirement plan details")</f>
        <v>Other retirement plan details</v>
      </c>
      <c r="M79" s="24" t="str">
        <f>HYPERLINK("#'Leaves'!CA1","Q8.77")</f>
        <v>Q8.77</v>
      </c>
      <c r="N79" s="4" t="str">
        <f>HYPERLINK("#'Leaves'!CA2","Caregiver leave policy limits the number of occasions for which employees can request caregiver leave")</f>
        <v>Caregiver leave policy limits the number of occasions for which employees can request caregiver leave</v>
      </c>
      <c r="O79" s="33"/>
      <c r="Q79" s="24" t="str">
        <f>HYPERLINK("#'Transportation'!CA1","Q10.40_8_TEXT")</f>
        <v>Q10.40_8_TEXT</v>
      </c>
      <c r="R79" s="4" t="str">
        <f>HYPERLINK("#'Transportation'!CA2","Other employees provided with subsidized or free parking")</f>
        <v>Other employees provided with subsidized or free parking</v>
      </c>
      <c r="S79" s="33"/>
    </row>
    <row r="80" spans="5:19" ht="24.95" customHeight="1" x14ac:dyDescent="0.25">
      <c r="E80" s="24" t="str">
        <f>HYPERLINK("#'Dental &amp; Vision'!CB1","Q4.56")</f>
        <v>Q4.56</v>
      </c>
      <c r="F80" s="4" t="str">
        <f>HYPERLINK("#'Dental &amp; Vision'!CB2","How employee cost sharing is determined")</f>
        <v>How employee cost sharing is determined</v>
      </c>
      <c r="G80" s="24" t="str">
        <f>HYPERLINK("#'Life, AD&amp;D, Critical Illness'!CB1","Q5.69")</f>
        <v>Q5.69</v>
      </c>
      <c r="H80" s="4" t="str">
        <f>HYPERLINK("#'Life, AD&amp;D, Critical Illness'!CB2","Waiting period (days) for all employees")</f>
        <v>Waiting period (days) for all employees</v>
      </c>
      <c r="I80" s="32" t="str">
        <f>HYPERLINK("#'Sickness &amp; Disability'!CB1","Q6.73")</f>
        <v>Q6.73</v>
      </c>
      <c r="J80" s="36" t="str">
        <f>HYPERLINK("#'Sickness &amp; Disability'!CB2","Waiting period (days) for all employees")</f>
        <v>Waiting period (days) for all employees</v>
      </c>
      <c r="K80" s="24" t="str">
        <f>HYPERLINK("#'Retirement'!CB1","Q7.78")</f>
        <v>Q7.78</v>
      </c>
      <c r="L80" s="4" t="str">
        <f>HYPERLINK("#'Retirement'!CB2","Company offers an alternative retirement plan for higher paid employees who are affected by capped retirement benefits")</f>
        <v>Company offers an alternative retirement plan for higher paid employees who are affected by capped retirement benefits</v>
      </c>
      <c r="M80" s="24" t="str">
        <f>HYPERLINK("#'Leaves'!CB1","Q8.78")</f>
        <v>Q8.78</v>
      </c>
      <c r="N80" s="11" t="str">
        <f>HYPERLINK("#'Leaves'!CB2","Caregiver leave policy limits details")</f>
        <v>Caregiver leave policy limits details</v>
      </c>
      <c r="O80" s="33"/>
      <c r="Q80" s="24" t="str">
        <f>HYPERLINK("#'Transportation'!CB1","Q10.41")</f>
        <v>Q10.41</v>
      </c>
      <c r="R80" s="4" t="str">
        <f>HYPERLINK("#'Transportation'!CB2","Cost of parking is fully covered by the company")</f>
        <v>Cost of parking is fully covered by the company</v>
      </c>
      <c r="S80" s="33"/>
    </row>
    <row r="81" spans="5:19" ht="24.95" customHeight="1" thickBot="1" x14ac:dyDescent="0.3">
      <c r="E81" s="24" t="str">
        <f>HYPERLINK("#'Dental &amp; Vision'!CC1","Q4.57")</f>
        <v>Q4.57</v>
      </c>
      <c r="F81" s="4" t="str">
        <f>HYPERLINK("#'Dental &amp; Vision'!CC2","Monthly flat amount the employee is required to pay in CAD")</f>
        <v>Monthly flat amount the employee is required to pay in CAD</v>
      </c>
      <c r="G81" s="24" t="str">
        <f>HYPERLINK("#'Life, AD&amp;D, Critical Illness'!CC1","Q5.70")</f>
        <v>Q5.70</v>
      </c>
      <c r="H81" s="4" t="str">
        <f>HYPERLINK("#'Life, AD&amp;D, Critical Illness'!CC2","Waiting period (days) for each employee group")</f>
        <v>Waiting period (days) for each employee group</v>
      </c>
      <c r="I81" s="32" t="str">
        <f>HYPERLINK("#'Sickness &amp; Disability'!CC1","Q6.74")</f>
        <v>Q6.74</v>
      </c>
      <c r="J81" s="36" t="str">
        <f>HYPERLINK("#'Sickness &amp; Disability'!CC2","Waiting period (days) for each employee group")</f>
        <v>Waiting period (days) for each employee group</v>
      </c>
      <c r="K81" s="29" t="str">
        <f>HYPERLINK("#'Retirement'!CC1","Q7.79")</f>
        <v>Q7.79</v>
      </c>
      <c r="L81" s="26" t="str">
        <f>HYPERLINK("#'Retirement'!CC2","Alternative plan the company provides")</f>
        <v>Alternative plan the company provides</v>
      </c>
      <c r="M81" s="24" t="str">
        <f>HYPERLINK("#'Leaves'!CC1","Q8.80")</f>
        <v>Q8.80</v>
      </c>
      <c r="N81" s="4" t="str">
        <f>HYPERLINK("#'Leaves'!CC2","Have a waiting period for participation in bereavement leave for new employees")</f>
        <v>Have a waiting period for participation in bereavement leave for new employees</v>
      </c>
      <c r="O81" s="33"/>
      <c r="Q81" s="24" t="str">
        <f>HYPERLINK("#'Transportation'!CC1","Q10.43")</f>
        <v>Q10.43</v>
      </c>
      <c r="R81" s="4" t="str">
        <f>HYPERLINK("#'Transportation'!CC2","Employees provided with a public transportation subsidy or benefit")</f>
        <v>Employees provided with a public transportation subsidy or benefit</v>
      </c>
      <c r="S81" s="33"/>
    </row>
    <row r="82" spans="5:19" ht="24.95" customHeight="1" x14ac:dyDescent="0.25">
      <c r="E82" s="24" t="str">
        <f>HYPERLINK("#'Dental &amp; Vision'!CD1","Q4.58")</f>
        <v>Q4.58</v>
      </c>
      <c r="F82" s="4" t="str">
        <f>HYPERLINK("#'Dental &amp; Vision'!CD2","Percentage the employee is required to pay")</f>
        <v>Percentage the employee is required to pay</v>
      </c>
      <c r="G82" s="24" t="str">
        <f>HYPERLINK("#'Life, AD&amp;D, Critical Illness'!CD1","Q5.71")</f>
        <v>Q5.71</v>
      </c>
      <c r="H82" s="4" t="str">
        <f>HYPERLINK("#'Life, AD&amp;D, Critical Illness'!CD2","Benefit formula used for this plan")</f>
        <v>Benefit formula used for this plan</v>
      </c>
      <c r="I82" s="32" t="str">
        <f>HYPERLINK("#'Sickness &amp; Disability'!CD1","Q6.75")</f>
        <v>Q6.75</v>
      </c>
      <c r="J82" s="36" t="str">
        <f>HYPERLINK("#'Sickness &amp; Disability'!CD2","Benefit formula used for the supplemental total permanent disability plan")</f>
        <v>Benefit formula used for the supplemental total permanent disability plan</v>
      </c>
      <c r="K82" s="35"/>
      <c r="L82" s="30"/>
      <c r="M82" s="24" t="str">
        <f>HYPERLINK("#'Leaves'!CD1","Q8.81")</f>
        <v>Q8.81</v>
      </c>
      <c r="N82" s="4" t="str">
        <f>HYPERLINK("#'Leaves'!CD2","Waiting period (days) for all employees")</f>
        <v>Waiting period (days) for all employees</v>
      </c>
      <c r="O82" s="33"/>
      <c r="Q82" s="24" t="str">
        <f>HYPERLINK("#'Transportation'!CD1","Q10.43_8_TEXT")</f>
        <v>Q10.43_8_TEXT</v>
      </c>
      <c r="R82" s="4" t="str">
        <f>HYPERLINK("#'Transportation'!CD2","Other employees provided with a public transportation subsidy or benefit")</f>
        <v>Other employees provided with a public transportation subsidy or benefit</v>
      </c>
      <c r="S82" s="33"/>
    </row>
    <row r="83" spans="5:19" ht="24.95" customHeight="1" x14ac:dyDescent="0.25">
      <c r="E83" s="24" t="str">
        <f>HYPERLINK("#'Dental &amp; Vision'!CE1","Q4.59")</f>
        <v>Q4.59</v>
      </c>
      <c r="F83" s="4" t="str">
        <f>HYPERLINK("#'Dental &amp; Vision'!CE2","Monthly flat amount of the company contribution in CAD")</f>
        <v>Monthly flat amount of the company contribution in CAD</v>
      </c>
      <c r="G83" s="24" t="str">
        <f>HYPERLINK("#'Life, AD&amp;D, Critical Illness'!CE1","Q5.72")</f>
        <v>Q5.72</v>
      </c>
      <c r="H83" s="4" t="str">
        <f>HYPERLINK("#'Life, AD&amp;D, Critical Illness'!CE2","Flat amount of the benefit provided in CAD")</f>
        <v>Flat amount of the benefit provided in CAD</v>
      </c>
      <c r="I83" s="32" t="str">
        <f>HYPERLINK("#'Sickness &amp; Disability'!CE1","Q6.76")</f>
        <v>Q6.76</v>
      </c>
      <c r="J83" s="36" t="str">
        <f>HYPERLINK("#'Sickness &amp; Disability'!CE2","Flat amount of the benefit provided in CAD")</f>
        <v>Flat amount of the benefit provided in CAD</v>
      </c>
      <c r="K83" s="33"/>
      <c r="M83" s="24" t="str">
        <f>HYPERLINK("#'Leaves'!CE1","Q8.82")</f>
        <v>Q8.82</v>
      </c>
      <c r="N83" s="4" t="str">
        <f>HYPERLINK("#'Leaves'!CE2","Waiting period (days) for each employee group")</f>
        <v>Waiting period (days) for each employee group</v>
      </c>
      <c r="O83" s="33"/>
      <c r="Q83" s="24" t="str">
        <f>HYPERLINK("#'Transportation'!CE1","Q10.44")</f>
        <v>Q10.44</v>
      </c>
      <c r="R83" s="4" t="str">
        <f>HYPERLINK("#'Transportation'!CE2","Benefit covers 100% of the cost of public transportation for eligible employees")</f>
        <v>Benefit covers 100% of the cost of public transportation for eligible employees</v>
      </c>
      <c r="S83" s="33"/>
    </row>
    <row r="84" spans="5:19" ht="24.95" customHeight="1" x14ac:dyDescent="0.25">
      <c r="E84" s="24" t="str">
        <f>HYPERLINK("#'Dental &amp; Vision'!CF1","Q4.60")</f>
        <v>Q4.60</v>
      </c>
      <c r="F84" s="4" t="str">
        <f>HYPERLINK("#'Dental &amp; Vision'!CF2","Other approach used to determine cost sharing")</f>
        <v>Other approach used to determine cost sharing</v>
      </c>
      <c r="G84" s="24" t="str">
        <f>HYPERLINK("#'Life, AD&amp;D, Critical Illness'!CF1","Q5.73")</f>
        <v>Q5.73</v>
      </c>
      <c r="H84" s="4" t="str">
        <f>HYPERLINK("#'Life, AD&amp;D, Critical Illness'!CF2","Types of compensation eligible under the plan")</f>
        <v>Types of compensation eligible under the plan</v>
      </c>
      <c r="I84" s="32" t="str">
        <f>HYPERLINK("#'Sickness &amp; Disability'!CF1","Q6.77")</f>
        <v>Q6.77</v>
      </c>
      <c r="J84" s="36" t="str">
        <f>HYPERLINK("#'Sickness &amp; Disability'!CF2","Types of compensation eligible under the supplemental total permanent disability plan")</f>
        <v>Types of compensation eligible under the supplemental total permanent disability plan</v>
      </c>
      <c r="K84" s="33"/>
      <c r="M84" s="24" t="str">
        <f>HYPERLINK("#'Leaves'!CF1","Q8.83")</f>
        <v>Q8.83</v>
      </c>
      <c r="N84" s="4" t="str">
        <f>HYPERLINK("#'Leaves'!CF2","Relationships that qualify for bereavement leave")</f>
        <v>Relationships that qualify for bereavement leave</v>
      </c>
      <c r="O84" s="33"/>
      <c r="Q84" s="24" t="str">
        <f>HYPERLINK("#'Transportation'!CF1","Q10.45")</f>
        <v>Q10.45</v>
      </c>
      <c r="R84" s="4" t="str">
        <f>HYPERLINK("#'Transportation'!CF2","Amount paid per employee annually in CAD for public transportation")</f>
        <v>Amount paid per employee annually in CAD for public transportation</v>
      </c>
      <c r="S84" s="33"/>
    </row>
    <row r="85" spans="5:19" ht="24.95" customHeight="1" x14ac:dyDescent="0.25">
      <c r="E85" s="24" t="str">
        <f>HYPERLINK("#'Dental &amp; Vision'!CG1","Q4.61_1")</f>
        <v>Q4.61_1</v>
      </c>
      <c r="F85" s="4" t="str">
        <f>HYPERLINK("#'Dental &amp; Vision'!CG2","How the vision benefit is paid for dependents - Spouse")</f>
        <v>How the vision benefit is paid for dependents - Spouse</v>
      </c>
      <c r="G85" s="24" t="str">
        <f>HYPERLINK("#'Life, AD&amp;D, Critical Illness'!CG1","Q5.73_9_TEXT")</f>
        <v>Q5.73_9_TEXT</v>
      </c>
      <c r="H85" s="4" t="str">
        <f>HYPERLINK("#'Life, AD&amp;D, Critical Illness'!CG2","Other types of compensation eligible under the plan")</f>
        <v>Other types of compensation eligible under the plan</v>
      </c>
      <c r="I85" s="32" t="str">
        <f>HYPERLINK("#'Sickness &amp; Disability'!CG1","Q6.77_12_TEXT")</f>
        <v>Q6.77_12_TEXT</v>
      </c>
      <c r="J85" s="36" t="str">
        <f>HYPERLINK("#'Sickness &amp; Disability'!CG2","Other types of compensation eligible under the supplemental total permanent disability plan")</f>
        <v>Other types of compensation eligible under the supplemental total permanent disability plan</v>
      </c>
      <c r="K85" s="33"/>
      <c r="M85" s="24" t="str">
        <f>HYPERLINK("#'Leaves'!CG1","Q8.83_20_TEXT")</f>
        <v>Q8.83_20_TEXT</v>
      </c>
      <c r="N85" s="4" t="str">
        <f>HYPERLINK("#'Leaves'!CG2","Other relationships that qualify for bereavement leave")</f>
        <v>Other relationships that qualify for bereavement leave</v>
      </c>
      <c r="O85" s="33"/>
      <c r="Q85" s="24" t="str">
        <f>HYPERLINK("#'Transportation'!CG1","Q10.46")</f>
        <v>Q10.46</v>
      </c>
      <c r="R85" s="11" t="str">
        <f>HYPERLINK("#'Transportation'!CG2","How the public transportation benefit is provided to the employee")</f>
        <v>How the public transportation benefit is provided to the employee</v>
      </c>
      <c r="S85" s="33"/>
    </row>
    <row r="86" spans="5:19" ht="24.95" customHeight="1" x14ac:dyDescent="0.25">
      <c r="E86" s="24" t="str">
        <f>HYPERLINK("#'Dental &amp; Vision'!CH1","Q4.61_2")</f>
        <v>Q4.61_2</v>
      </c>
      <c r="F86" s="4" t="str">
        <f>HYPERLINK("#'Dental &amp; Vision'!CH2","How the vision benefit is paid for dependents - Common-law partner")</f>
        <v>How the vision benefit is paid for dependents - Common-law partner</v>
      </c>
      <c r="G86" s="24" t="str">
        <f>HYPERLINK("#'Life, AD&amp;D, Critical Illness'!CH1","Q5.74")</f>
        <v>Q5.74</v>
      </c>
      <c r="H86" s="4" t="str">
        <f>HYPERLINK("#'Life, AD&amp;D, Critical Illness'!CH2","Multiple of earnings provided")</f>
        <v>Multiple of earnings provided</v>
      </c>
      <c r="I86" s="32" t="str">
        <f>HYPERLINK("#'Sickness &amp; Disability'!CH1","Q6.78")</f>
        <v>Q6.78</v>
      </c>
      <c r="J86" s="36" t="str">
        <f>HYPERLINK("#'Sickness &amp; Disability'!CH2","Multiple of earnings provided")</f>
        <v>Multiple of earnings provided</v>
      </c>
      <c r="K86" s="33"/>
      <c r="M86" s="24" t="str">
        <f>HYPERLINK("#'Leaves'!CH1","Q8.84")</f>
        <v>Q8.84</v>
      </c>
      <c r="N86" s="4" t="str">
        <f>HYPERLINK("#'Leaves'!CH2","Employees receive the same amount of leave regardless of relationship")</f>
        <v>Employees receive the same amount of leave regardless of relationship</v>
      </c>
      <c r="O86" s="33"/>
      <c r="Q86" s="24" t="str">
        <f>HYPERLINK("#'Transportation'!CH1","Q10.46_6_TEXT")</f>
        <v>Q10.46_6_TEXT</v>
      </c>
      <c r="R86" s="11" t="str">
        <f>HYPERLINK("#'Transportation'!CH2","Other ways the public transportation benefit is provided to the employee")</f>
        <v>Other ways the public transportation benefit is provided to the employee</v>
      </c>
      <c r="S86" s="33"/>
    </row>
    <row r="87" spans="5:19" ht="24.95" customHeight="1" x14ac:dyDescent="0.25">
      <c r="E87" s="24" t="str">
        <f>HYPERLINK("#'Dental &amp; Vision'!CI1","Q4.61_3")</f>
        <v>Q4.61_3</v>
      </c>
      <c r="F87" s="4" t="str">
        <f>HYPERLINK("#'Dental &amp; Vision'!CI2","How the vision benefit is paid for dependents - Children")</f>
        <v>How the vision benefit is paid for dependents - Children</v>
      </c>
      <c r="G87" s="24" t="str">
        <f>HYPERLINK("#'Life, AD&amp;D, Critical Illness'!CI1","Q5.74_77_TEXT")</f>
        <v>Q5.74_77_TEXT</v>
      </c>
      <c r="H87" s="4" t="str">
        <f>HYPERLINK("#'Life, AD&amp;D, Critical Illness'!CI2","Other multiple of earnings provided")</f>
        <v>Other multiple of earnings provided</v>
      </c>
      <c r="I87" s="32" t="str">
        <f>HYPERLINK("#'Sickness &amp; Disability'!CI1","Q6.78_7_TEXT")</f>
        <v>Q6.78_7_TEXT</v>
      </c>
      <c r="J87" s="36" t="str">
        <f>HYPERLINK("#'Sickness &amp; Disability'!CI2","Other multiple of earnings provided")</f>
        <v>Other multiple of earnings provided</v>
      </c>
      <c r="K87" s="33"/>
      <c r="M87" s="24" t="str">
        <f>HYPERLINK("#'Leaves'!CI1","Q8.85")</f>
        <v>Q8.85</v>
      </c>
      <c r="N87" s="4" t="str">
        <f>HYPERLINK("#'Leaves'!CI2","How the bereavement leave paid")</f>
        <v>How the bereavement leave paid</v>
      </c>
      <c r="O87" s="33"/>
      <c r="Q87" s="24" t="str">
        <f>HYPERLINK("#'Transportation'!CI1","Q10.48")</f>
        <v>Q10.48</v>
      </c>
      <c r="R87" s="4" t="str">
        <f>HYPERLINK("#'Transportation'!CI2","Employees provided with a walking or cycling allowance (or related benefit)")</f>
        <v>Employees provided with a walking or cycling allowance (or related benefit)</v>
      </c>
      <c r="S87" s="33"/>
    </row>
    <row r="88" spans="5:19" ht="24.95" customHeight="1" x14ac:dyDescent="0.25">
      <c r="E88" s="24" t="str">
        <f>HYPERLINK("#'Dental &amp; Vision'!CJ1","Q4.61_4")</f>
        <v>Q4.61_4</v>
      </c>
      <c r="F88" s="4" t="str">
        <f>HYPERLINK("#'Dental &amp; Vision'!CJ2","How the vision benefit is paid for dependents - Parents")</f>
        <v>How the vision benefit is paid for dependents - Parents</v>
      </c>
      <c r="G88" s="24" t="str">
        <f>HYPERLINK("#'Life, AD&amp;D, Critical Illness'!CJ1","Q5.75")</f>
        <v>Q5.75</v>
      </c>
      <c r="H88" s="4" t="str">
        <f>HYPERLINK("#'Life, AD&amp;D, Critical Illness'!CJ2","Other benefit formula used to determine the amount of the benefit")</f>
        <v>Other benefit formula used to determine the amount of the benefit</v>
      </c>
      <c r="I88" s="32" t="str">
        <f>HYPERLINK("#'Sickness &amp; Disability'!CJ1","Q6.79")</f>
        <v>Q6.79</v>
      </c>
      <c r="J88" s="36" t="str">
        <f>HYPERLINK("#'Sickness &amp; Disability'!CJ2","Other benefit formula used to determine the amount of the benefit")</f>
        <v>Other benefit formula used to determine the amount of the benefit</v>
      </c>
      <c r="K88" s="33"/>
      <c r="M88" s="24" t="str">
        <f>HYPERLINK("#'Leaves'!CJ1","Q8.86")</f>
        <v>Q8.86</v>
      </c>
      <c r="N88" s="4" t="str">
        <f>HYPERLINK("#'Leaves'!CJ2","Number of days of bereavement leave provided - Paid")</f>
        <v>Number of days of bereavement leave provided - Paid</v>
      </c>
      <c r="O88" s="33"/>
      <c r="Q88" s="24" t="str">
        <f>HYPERLINK("#'Transportation'!CJ1","Q10.48_8_TEXT")</f>
        <v>Q10.48_8_TEXT</v>
      </c>
      <c r="R88" s="4" t="str">
        <f>HYPERLINK("#'Transportation'!CJ2","Other employees provided with a walking or cycling allowance (or related benefit)")</f>
        <v>Other employees provided with a walking or cycling allowance (or related benefit)</v>
      </c>
      <c r="S88" s="33"/>
    </row>
    <row r="89" spans="5:19" ht="24.95" customHeight="1" x14ac:dyDescent="0.25">
      <c r="E89" s="24" t="str">
        <f>HYPERLINK("#'Dental &amp; Vision'!CK1","Q4.61_5")</f>
        <v>Q4.61_5</v>
      </c>
      <c r="F89" s="4" t="str">
        <f>HYPERLINK("#'Dental &amp; Vision'!CK2","How the vision benefit is paid for dependents - Other")</f>
        <v>How the vision benefit is paid for dependents - Other</v>
      </c>
      <c r="G89" s="24" t="str">
        <f>HYPERLINK("#'Life, AD&amp;D, Critical Illness'!CK1","Q5.76")</f>
        <v>Q5.76</v>
      </c>
      <c r="H89" s="4" t="str">
        <f>HYPERLINK("#'Life, AD&amp;D, Critical Illness'!CK2","Company-provided basic critical illness benefit has a cap")</f>
        <v>Company-provided basic critical illness benefit has a cap</v>
      </c>
      <c r="I89" s="32" t="str">
        <f>HYPERLINK("#'Sickness &amp; Disability'!CK1","Q6.80")</f>
        <v>Q6.80</v>
      </c>
      <c r="J89" s="36" t="str">
        <f>HYPERLINK("#'Sickness &amp; Disability'!CK2","Supplemental total permanent disability benefit has a cap")</f>
        <v>Supplemental total permanent disability benefit has a cap</v>
      </c>
      <c r="K89" s="33"/>
      <c r="M89" s="24" t="str">
        <f>HYPERLINK("#'Leaves'!CK1","Q8.87")</f>
        <v>Q8.87</v>
      </c>
      <c r="N89" s="4" t="str">
        <f>HYPERLINK("#'Leaves'!CK2","Number of days of bereavement leave provided - Unpaid")</f>
        <v>Number of days of bereavement leave provided - Unpaid</v>
      </c>
      <c r="O89" s="33"/>
      <c r="Q89" s="24" t="str">
        <f>HYPERLINK("#'Transportation'!CK1","Q10.49")</f>
        <v>Q10.49</v>
      </c>
      <c r="R89" s="4" t="str">
        <f>HYPERLINK("#'Transportation'!CK2","How the provision of this allowance (or related benefit) is determined")</f>
        <v>How the provision of this allowance (or related benefit) is determined</v>
      </c>
      <c r="S89" s="33"/>
    </row>
    <row r="90" spans="5:19" ht="24.95" customHeight="1" x14ac:dyDescent="0.25">
      <c r="E90" s="24" t="str">
        <f>HYPERLINK("#'Dental &amp; Vision'!CL1","Q4.62")</f>
        <v>Q4.62</v>
      </c>
      <c r="F90" s="4" t="str">
        <f>HYPERLINK("#'Dental &amp; Vision'!CL2","How employee cost sharing is determined for dependent coverage")</f>
        <v>How employee cost sharing is determined for dependent coverage</v>
      </c>
      <c r="G90" s="24" t="str">
        <f>HYPERLINK("#'Life, AD&amp;D, Critical Illness'!CL1","Q5.77")</f>
        <v>Q5.77</v>
      </c>
      <c r="H90" s="4" t="str">
        <f>HYPERLINK("#'Life, AD&amp;D, Critical Illness'!CL2","Maximum company-provided basic critical illness benefit amount in CAD")</f>
        <v>Maximum company-provided basic critical illness benefit amount in CAD</v>
      </c>
      <c r="I90" s="32" t="str">
        <f>HYPERLINK("#'Sickness &amp; Disability'!CL1","Q6.81")</f>
        <v>Q6.81</v>
      </c>
      <c r="J90" s="36" t="str">
        <f>HYPERLINK("#'Sickness &amp; Disability'!CL2","Maximum total permanent disability benefit amount in CAD")</f>
        <v>Maximum total permanent disability benefit amount in CAD</v>
      </c>
      <c r="K90" s="33"/>
      <c r="M90" s="24" t="str">
        <f>HYPERLINK("#'Leaves'!CL1","Q8.88_1_1")</f>
        <v>Q8.88_1_1</v>
      </c>
      <c r="N90" s="4" t="str">
        <f>HYPERLINK("#'Leaves'!CL2","Paid leave (days) provided for - Brother or sister")</f>
        <v>Paid leave (days) provided for - Brother or sister</v>
      </c>
      <c r="O90" s="33"/>
      <c r="Q90" s="24" t="str">
        <f>HYPERLINK("#'Transportation'!CL1","Q10.49_7_TEXT")</f>
        <v>Q10.49_7_TEXT</v>
      </c>
      <c r="R90" s="4" t="str">
        <f>HYPERLINK("#'Transportation'!CL2","Other ways the provision of this allowance (or related benefit) is determined")</f>
        <v>Other ways the provision of this allowance (or related benefit) is determined</v>
      </c>
      <c r="S90" s="33"/>
    </row>
    <row r="91" spans="5:19" ht="24.95" customHeight="1" x14ac:dyDescent="0.25">
      <c r="E91" s="24" t="str">
        <f>HYPERLINK("#'Dental &amp; Vision'!CM1","Q4.64")</f>
        <v>Q4.64</v>
      </c>
      <c r="F91" s="4" t="str">
        <f>HYPERLINK("#'Dental &amp; Vision'!CM2","Approach to insuring the vision benefit")</f>
        <v>Approach to insuring the vision benefit</v>
      </c>
      <c r="G91" s="24" t="str">
        <f>HYPERLINK("#'Life, AD&amp;D, Critical Illness'!CM1","Q5.78")</f>
        <v>Q5.78</v>
      </c>
      <c r="H91" s="4" t="str">
        <f>HYPERLINK("#'Life, AD&amp;D, Critical Illness'!CM2","Type of critical illness benefits provided to dependents are the same as those provided to employees")</f>
        <v>Type of critical illness benefits provided to dependents are the same as those provided to employees</v>
      </c>
      <c r="I91" s="32" t="str">
        <f>HYPERLINK("#'Sickness &amp; Disability'!CM1","Q6.82")</f>
        <v>Q6.82</v>
      </c>
      <c r="J91" s="36" t="str">
        <f>HYPERLINK("#'Sickness &amp; Disability'!CM2","Cost sharing for the supplemental total permanent disability plan")</f>
        <v>Cost sharing for the supplemental total permanent disability plan</v>
      </c>
      <c r="K91" s="33"/>
      <c r="M91" s="24" t="str">
        <f>HYPERLINK("#'Leaves'!CM1","Q8.88_1_2")</f>
        <v>Q8.88_1_2</v>
      </c>
      <c r="N91" s="4" t="str">
        <f>HYPERLINK("#'Leaves'!CM2","Paid leave (days) provided for - Brother-in-law or sister-in-law")</f>
        <v>Paid leave (days) provided for - Brother-in-law or sister-in-law</v>
      </c>
      <c r="O91" s="33"/>
      <c r="Q91" s="24" t="str">
        <f>HYPERLINK("#'Transportation'!CM1","Q10.50")</f>
        <v>Q10.50</v>
      </c>
      <c r="R91" s="4" t="str">
        <f>HYPERLINK("#'Transportation'!CM2","Amount paid based on the distance of the commute")</f>
        <v>Amount paid based on the distance of the commute</v>
      </c>
      <c r="S91" s="33"/>
    </row>
    <row r="92" spans="5:19" ht="24.95" customHeight="1" x14ac:dyDescent="0.25">
      <c r="E92" s="24" t="str">
        <f>HYPERLINK("#'Dental &amp; Vision'!CN1","Q4.64_5_TEXT")</f>
        <v>Q4.64_5_TEXT</v>
      </c>
      <c r="F92" s="4" t="str">
        <f>HYPERLINK("#'Dental &amp; Vision'!CN2","Other way the vision benefit is insured")</f>
        <v>Other way the vision benefit is insured</v>
      </c>
      <c r="G92" s="24" t="str">
        <f>HYPERLINK("#'Life, AD&amp;D, Critical Illness'!CN1","Q5.79")</f>
        <v>Q5.79</v>
      </c>
      <c r="H92" s="4" t="str">
        <f>HYPERLINK("#'Life, AD&amp;D, Critical Illness'!CN2","How the benefits provided to dependents differ from those provided to employees")</f>
        <v>How the benefits provided to dependents differ from those provided to employees</v>
      </c>
      <c r="I92" s="32" t="str">
        <f>HYPERLINK("#'Sickness &amp; Disability'!CN1","Q6.83")</f>
        <v>Q6.83</v>
      </c>
      <c r="J92" s="36" t="str">
        <f>HYPERLINK("#'Sickness &amp; Disability'!CN2","How employee cost sharing is determined")</f>
        <v>How employee cost sharing is determined</v>
      </c>
      <c r="K92" s="33"/>
      <c r="M92" s="24" t="str">
        <f>HYPERLINK("#'Leaves'!CN1","Q8.88_1_3")</f>
        <v>Q8.88_1_3</v>
      </c>
      <c r="N92" s="4" t="str">
        <f>HYPERLINK("#'Leaves'!CN2","Paid leave (days) provided for - Child(ren)")</f>
        <v>Paid leave (days) provided for - Child(ren)</v>
      </c>
      <c r="O92" s="33"/>
      <c r="Q92" s="24" t="str">
        <f>HYPERLINK("#'Transportation'!CN1","Q10.51")</f>
        <v>Q10.51</v>
      </c>
      <c r="R92" s="4" t="str">
        <f>HYPERLINK("#'Transportation'!CN2","Flat amount the company pays per employee annually in CAD for the walking/cycling allowance")</f>
        <v>Flat amount the company pays per employee annually in CAD for the walking/cycling allowance</v>
      </c>
      <c r="S92" s="33"/>
    </row>
    <row r="93" spans="5:19" ht="24.95" customHeight="1" x14ac:dyDescent="0.25">
      <c r="E93" s="24" t="str">
        <f>HYPERLINK("#'Dental &amp; Vision'!CO1","Q4.65")</f>
        <v>Q4.65</v>
      </c>
      <c r="F93" s="4" t="str">
        <f>HYPERLINK("#'Dental &amp; Vision'!CO2","Type of carrier insured vision policy")</f>
        <v>Type of carrier insured vision policy</v>
      </c>
      <c r="G93" s="24" t="str">
        <f>HYPERLINK("#'Life, AD&amp;D, Critical Illness'!CO1","Q5.80")</f>
        <v>Q5.80</v>
      </c>
      <c r="H93" s="4" t="str">
        <f>HYPERLINK("#'Life, AD&amp;D, Critical Illness'!CO2","Optional/voluntary critical illness coverage options available to employee")</f>
        <v>Optional/voluntary critical illness coverage options available to employee</v>
      </c>
      <c r="I93" s="32" t="str">
        <f>HYPERLINK("#'Sickness &amp; Disability'!CO1","Q6.84")</f>
        <v>Q6.84</v>
      </c>
      <c r="J93" s="36" t="str">
        <f>HYPERLINK("#'Sickness &amp; Disability'!CO2","Monthly flat amount the employee is required to pay in CAD")</f>
        <v>Monthly flat amount the employee is required to pay in CAD</v>
      </c>
      <c r="K93" s="33"/>
      <c r="M93" s="24" t="str">
        <f>HYPERLINK("#'Leaves'!CO1","Q8.88_1_4")</f>
        <v>Q8.88_1_4</v>
      </c>
      <c r="N93" s="4" t="str">
        <f>HYPERLINK("#'Leaves'!CO2","Paid leave (days) provided for - Cousin")</f>
        <v>Paid leave (days) provided for - Cousin</v>
      </c>
      <c r="O93" s="33"/>
      <c r="Q93" s="24" t="str">
        <f>HYPERLINK("#'Transportation'!CO1","Q10.52")</f>
        <v>Q10.52</v>
      </c>
      <c r="R93" s="4" t="str">
        <f>HYPERLINK("#'Transportation'!CO2","Subsidy provided to purchase a bicycle is capped")</f>
        <v>Subsidy provided to purchase a bicycle is capped</v>
      </c>
      <c r="S93" s="33"/>
    </row>
    <row r="94" spans="5:19" ht="24.95" customHeight="1" x14ac:dyDescent="0.25">
      <c r="E94" s="24" t="str">
        <f>HYPERLINK("#'Dental &amp; Vision'!CP1","Q4.65_6_TEXT")</f>
        <v>Q4.65_6_TEXT</v>
      </c>
      <c r="F94" s="4" t="str">
        <f>HYPERLINK("#'Dental &amp; Vision'!CP2","Other type of carrier insured vision policy")</f>
        <v>Other type of carrier insured vision policy</v>
      </c>
      <c r="G94" s="24" t="str">
        <f>HYPERLINK("#'Life, AD&amp;D, Critical Illness'!CP1","Q5.81")</f>
        <v>Q5.81</v>
      </c>
      <c r="H94" s="4" t="str">
        <f>HYPERLINK("#'Life, AD&amp;D, Critical Illness'!CP2","Employees can buy optional/voluntary critical illness coverage for dependents")</f>
        <v>Employees can buy optional/voluntary critical illness coverage for dependents</v>
      </c>
      <c r="I94" s="32" t="str">
        <f>HYPERLINK("#'Sickness &amp; Disability'!CP1","Q6.85")</f>
        <v>Q6.85</v>
      </c>
      <c r="J94" s="36" t="str">
        <f>HYPERLINK("#'Sickness &amp; Disability'!CP2","Percentage the employee is required to pay")</f>
        <v>Percentage the employee is required to pay</v>
      </c>
      <c r="K94" s="33"/>
      <c r="M94" s="24" t="str">
        <f>HYPERLINK("#'Leaves'!CP1","Q8.88_1_5")</f>
        <v>Q8.88_1_5</v>
      </c>
      <c r="N94" s="4" t="str">
        <f>HYPERLINK("#'Leaves'!CP2","Paid leave (days) provided for - Common-law partner")</f>
        <v>Paid leave (days) provided for - Common-law partner</v>
      </c>
      <c r="O94" s="33"/>
      <c r="Q94" s="24" t="str">
        <f>HYPERLINK("#'Transportation'!CP1","Q10.53")</f>
        <v>Q10.53</v>
      </c>
      <c r="R94" s="4" t="str">
        <f>HYPERLINK("#'Transportation'!CP2","Annual maximum bicycle subsidy per employee in CAD")</f>
        <v>Annual maximum bicycle subsidy per employee in CAD</v>
      </c>
      <c r="S94" s="33"/>
    </row>
    <row r="95" spans="5:19" ht="24.95" customHeight="1" x14ac:dyDescent="0.25">
      <c r="E95" s="24" t="str">
        <f>HYPERLINK("#'Dental &amp; Vision'!CQ1","Q4.66")</f>
        <v>Q4.66</v>
      </c>
      <c r="F95" s="4" t="str">
        <f>HYPERLINK("#'Dental &amp; Vision'!CQ2","Other policy that the carrier insured vision plan is a rider to")</f>
        <v>Other policy that the carrier insured vision plan is a rider to</v>
      </c>
      <c r="G95" s="24" t="str">
        <f>HYPERLINK("#'Life, AD&amp;D, Critical Illness'!CQ1","Q5.82")</f>
        <v>Q5.82</v>
      </c>
      <c r="H95" s="4" t="str">
        <f>HYPERLINK("#'Life, AD&amp;D, Critical Illness'!CQ2","Dependents eligible to participate in the optional/voluntary critical illness coverage")</f>
        <v>Dependents eligible to participate in the optional/voluntary critical illness coverage</v>
      </c>
      <c r="I95" s="32" t="str">
        <f>HYPERLINK("#'Sickness &amp; Disability'!CQ1","Q6.86")</f>
        <v>Q6.86</v>
      </c>
      <c r="J95" s="36" t="str">
        <f>HYPERLINK("#'Sickness &amp; Disability'!CQ2","Monthly flat amount of the company contribution in CAD")</f>
        <v>Monthly flat amount of the company contribution in CAD</v>
      </c>
      <c r="K95" s="33"/>
      <c r="M95" s="24" t="str">
        <f>HYPERLINK("#'Leaves'!CQ1","Q8.88_1_6")</f>
        <v>Q8.88_1_6</v>
      </c>
      <c r="N95" s="4" t="str">
        <f>HYPERLINK("#'Leaves'!CQ2","Paid leave (days) provided for - Foster children")</f>
        <v>Paid leave (days) provided for - Foster children</v>
      </c>
      <c r="O95" s="33"/>
      <c r="Q95" s="24" t="str">
        <f>HYPERLINK("#'Transportation'!CQ1","Q10.54")</f>
        <v>Q10.54</v>
      </c>
      <c r="R95" s="4" t="str">
        <f>HYPERLINK("#'Transportation'!CQ2","Company has any transportation benefits for which only executives are eligible to participate")</f>
        <v>Company has any transportation benefits for which only executives are eligible to participate</v>
      </c>
      <c r="S95" s="33"/>
    </row>
    <row r="96" spans="5:19" ht="24.95" customHeight="1" x14ac:dyDescent="0.25">
      <c r="E96" s="24" t="str">
        <f>HYPERLINK("#'Dental &amp; Vision'!CR1","Q4.67")</f>
        <v>Q4.67</v>
      </c>
      <c r="F96" s="4" t="str">
        <f>HYPERLINK("#'Dental &amp; Vision'!CR2","Vendor for the most prevalent vision plan")</f>
        <v>Vendor for the most prevalent vision plan</v>
      </c>
      <c r="G96" s="24" t="str">
        <f>HYPERLINK("#'Life, AD&amp;D, Critical Illness'!CR1","Q5.82_7_TEXT")</f>
        <v>Q5.82_7_TEXT</v>
      </c>
      <c r="H96" s="4" t="str">
        <f>HYPERLINK("#'Life, AD&amp;D, Critical Illness'!CR2","Other dependents eligible to participate in the optional/voluntary critical illness coverage")</f>
        <v>Other dependents eligible to participate in the optional/voluntary critical illness coverage</v>
      </c>
      <c r="I96" s="32" t="str">
        <f>HYPERLINK("#'Sickness &amp; Disability'!CR1","Q6.87")</f>
        <v>Q6.87</v>
      </c>
      <c r="J96" s="36" t="str">
        <f>HYPERLINK("#'Sickness &amp; Disability'!CR2","How cost sharing is determined")</f>
        <v>How cost sharing is determined</v>
      </c>
      <c r="K96" s="33"/>
      <c r="M96" s="24" t="str">
        <f>HYPERLINK("#'Leaves'!CR1","Q8.88_1_7")</f>
        <v>Q8.88_1_7</v>
      </c>
      <c r="N96" s="4" t="str">
        <f>HYPERLINK("#'Leaves'!CR2","Paid leave (days) provided for - Friend")</f>
        <v>Paid leave (days) provided for - Friend</v>
      </c>
      <c r="O96" s="33"/>
      <c r="Q96" s="24" t="str">
        <f>HYPERLINK("#'Transportation'!CR1","Q10.55")</f>
        <v>Q10.55</v>
      </c>
      <c r="R96" s="4" t="str">
        <f>HYPERLINK("#'Transportation'!CR2","Transportation benefits for which only executives are eligible to participate")</f>
        <v>Transportation benefits for which only executives are eligible to participate</v>
      </c>
      <c r="S96" s="33"/>
    </row>
    <row r="97" spans="5:19" ht="24.95" customHeight="1" thickBot="1" x14ac:dyDescent="0.3">
      <c r="E97" s="29" t="str">
        <f>HYPERLINK("#'Dental &amp; Vision'!CS1","Q4.67_9_TEXT")</f>
        <v>Q4.67_9_TEXT</v>
      </c>
      <c r="F97" s="26" t="str">
        <f>HYPERLINK("#'Dental &amp; Vision'!CS2","Other vendor for the most prevalent vision plan")</f>
        <v>Other vendor for the most prevalent vision plan</v>
      </c>
      <c r="G97" s="24" t="str">
        <f>HYPERLINK("#'Life, AD&amp;D, Critical Illness'!CS1","Q5.83")</f>
        <v>Q5.83</v>
      </c>
      <c r="H97" s="4" t="str">
        <f>HYPERLINK("#'Life, AD&amp;D, Critical Illness'!CS2","Optional/voluntary critical illness coverage options available to dependents")</f>
        <v>Optional/voluntary critical illness coverage options available to dependents</v>
      </c>
      <c r="I97" s="32" t="str">
        <f>HYPERLINK("#'Sickness &amp; Disability'!CS1","Q6.89")</f>
        <v>Q6.89</v>
      </c>
      <c r="J97" s="36" t="str">
        <f>HYPERLINK("#'Sickness &amp; Disability'!CS2","Approach to insuring the supplemental total permanent disability benefit")</f>
        <v>Approach to insuring the supplemental total permanent disability benefit</v>
      </c>
      <c r="K97" s="33"/>
      <c r="M97" s="24" t="str">
        <f>HYPERLINK("#'Leaves'!CS1","Q8.88_1_8")</f>
        <v>Q8.88_1_8</v>
      </c>
      <c r="N97" s="4" t="str">
        <f>HYPERLINK("#'Leaves'!CS2","Paid leave (days) provided for - Grandchildren")</f>
        <v>Paid leave (days) provided for - Grandchildren</v>
      </c>
      <c r="O97" s="33"/>
      <c r="Q97" s="29" t="str">
        <f>HYPERLINK("#'Transportation'!CS1","Q10.56")</f>
        <v>Q10.56</v>
      </c>
      <c r="R97" s="26" t="str">
        <f>HYPERLINK("#'Transportation'!CS2","Truly differentiating or unique transportation policies offered")</f>
        <v>Truly differentiating or unique transportation policies offered</v>
      </c>
      <c r="S97" s="33"/>
    </row>
    <row r="98" spans="5:19" ht="24.95" customHeight="1" x14ac:dyDescent="0.25">
      <c r="E98" s="27"/>
      <c r="F98" s="30"/>
      <c r="G98" s="24" t="str">
        <f>HYPERLINK("#'Life, AD&amp;D, Critical Illness'!CT1","Q5.84")</f>
        <v>Q5.84</v>
      </c>
      <c r="H98" s="4" t="str">
        <f>HYPERLINK("#'Life, AD&amp;D, Critical Illness'!CT2","Cost sharing for the company-provided basic critical illness coverage")</f>
        <v>Cost sharing for the company-provided basic critical illness coverage</v>
      </c>
      <c r="I98" s="32" t="str">
        <f>HYPERLINK("#'Sickness &amp; Disability'!CT1","Q6.89_3_TEXT")</f>
        <v>Q6.89_3_TEXT</v>
      </c>
      <c r="J98" s="36" t="str">
        <f>HYPERLINK("#'Sickness &amp; Disability'!CT2","Other way the supplemental total permanent disability benefit is insured")</f>
        <v>Other way the supplemental total permanent disability benefit is insured</v>
      </c>
      <c r="K98" s="33"/>
      <c r="M98" s="24" t="str">
        <f>HYPERLINK("#'Leaves'!CT1","Q8.88_1_9")</f>
        <v>Q8.88_1_9</v>
      </c>
      <c r="N98" s="4" t="str">
        <f>HYPERLINK("#'Leaves'!CT2","Paid leave (days) provided for - Grandparent")</f>
        <v>Paid leave (days) provided for - Grandparent</v>
      </c>
      <c r="O98" s="33"/>
      <c r="Q98" s="27"/>
      <c r="R98" s="30"/>
    </row>
    <row r="99" spans="5:19" ht="24.95" customHeight="1" x14ac:dyDescent="0.25">
      <c r="G99" s="24" t="str">
        <f>HYPERLINK("#'Life, AD&amp;D, Critical Illness'!CU1","Q5.85")</f>
        <v>Q5.85</v>
      </c>
      <c r="H99" s="4" t="str">
        <f>HYPERLINK("#'Life, AD&amp;D, Critical Illness'!CU2","How employee cost sharing is determined")</f>
        <v>How employee cost sharing is determined</v>
      </c>
      <c r="I99" s="32" t="str">
        <f>HYPERLINK("#'Sickness &amp; Disability'!CU1","Q6.90")</f>
        <v>Q6.90</v>
      </c>
      <c r="J99" s="36" t="str">
        <f>HYPERLINK("#'Sickness &amp; Disability'!CU2","Type of carrier insured supplemental total permanent disability policy")</f>
        <v>Type of carrier insured supplemental total permanent disability policy</v>
      </c>
      <c r="K99" s="33"/>
      <c r="M99" s="24" t="str">
        <f>HYPERLINK("#'Leaves'!CU1","Q8.88_1_10")</f>
        <v>Q8.88_1_10</v>
      </c>
      <c r="N99" s="4" t="str">
        <f>HYPERLINK("#'Leaves'!CU2","Paid leave (days) provided for - Grandparent-in-law")</f>
        <v>Paid leave (days) provided for - Grandparent-in-law</v>
      </c>
      <c r="O99" s="33"/>
    </row>
    <row r="100" spans="5:19" ht="24.95" customHeight="1" x14ac:dyDescent="0.25">
      <c r="G100" s="24" t="str">
        <f>HYPERLINK("#'Life, AD&amp;D, Critical Illness'!CV1","Q5.86")</f>
        <v>Q5.86</v>
      </c>
      <c r="H100" s="4" t="str">
        <f>HYPERLINK("#'Life, AD&amp;D, Critical Illness'!CV2","Monthly flat amount the employee is required to pay in CAD")</f>
        <v>Monthly flat amount the employee is required to pay in CAD</v>
      </c>
      <c r="I100" s="32" t="str">
        <f>HYPERLINK("#'Sickness &amp; Disability'!CV1","Q6.90_6_TEXT")</f>
        <v>Q6.90_6_TEXT</v>
      </c>
      <c r="J100" s="36" t="str">
        <f>HYPERLINK("#'Sickness &amp; Disability'!CV2","Other type of carrier insured supplemental total permanent disability policy")</f>
        <v>Other type of carrier insured supplemental total permanent disability policy</v>
      </c>
      <c r="K100" s="33"/>
      <c r="M100" s="24" t="str">
        <f>HYPERLINK("#'Leaves'!CV1","Q8.88_1_11")</f>
        <v>Q8.88_1_11</v>
      </c>
      <c r="N100" s="4" t="str">
        <f>HYPERLINK("#'Leaves'!CV2","Paid leave (days) provided for - Niece or nephew")</f>
        <v>Paid leave (days) provided for - Niece or nephew</v>
      </c>
      <c r="O100" s="33"/>
    </row>
    <row r="101" spans="5:19" ht="24.95" customHeight="1" x14ac:dyDescent="0.25">
      <c r="G101" s="24" t="str">
        <f>HYPERLINK("#'Life, AD&amp;D, Critical Illness'!CW1","Q5.87")</f>
        <v>Q5.87</v>
      </c>
      <c r="H101" s="4" t="str">
        <f>HYPERLINK("#'Life, AD&amp;D, Critical Illness'!CW2","Percentage the employee is required to pay")</f>
        <v>Percentage the employee is required to pay</v>
      </c>
      <c r="I101" s="32" t="str">
        <f>HYPERLINK("#'Sickness &amp; Disability'!CW1","Q6.91")</f>
        <v>Q6.91</v>
      </c>
      <c r="J101" s="36" t="str">
        <f>HYPERLINK("#'Sickness &amp; Disability'!CW2","Other policy that the carrier insured supplemental total permanent disability policy is a rider to")</f>
        <v>Other policy that the carrier insured supplemental total permanent disability policy is a rider to</v>
      </c>
      <c r="K101" s="33"/>
      <c r="M101" s="24" t="str">
        <f>HYPERLINK("#'Leaves'!CW1","Q8.88_1_12")</f>
        <v>Q8.88_1_12</v>
      </c>
      <c r="N101" s="4" t="str">
        <f>HYPERLINK("#'Leaves'!CW2","Paid leave (days) provided for - Parent")</f>
        <v>Paid leave (days) provided for - Parent</v>
      </c>
      <c r="O101" s="33"/>
    </row>
    <row r="102" spans="5:19" ht="24.95" customHeight="1" x14ac:dyDescent="0.25">
      <c r="G102" s="24" t="str">
        <f>HYPERLINK("#'Life, AD&amp;D, Critical Illness'!CX1","Q5.88")</f>
        <v>Q5.88</v>
      </c>
      <c r="H102" s="4" t="str">
        <f>HYPERLINK("#'Life, AD&amp;D, Critical Illness'!CX2","Monthly flat amount of the company contribution in CAD")</f>
        <v>Monthly flat amount of the company contribution in CAD</v>
      </c>
      <c r="I102" s="32" t="str">
        <f>HYPERLINK("#'Sickness &amp; Disability'!CX1","Q6.92")</f>
        <v>Q6.92</v>
      </c>
      <c r="J102" s="36" t="str">
        <f>HYPERLINK("#'Sickness &amp; Disability'!CX2","Vendor for the most prevalent total permanent disability benefit")</f>
        <v>Vendor for the most prevalent total permanent disability benefit</v>
      </c>
      <c r="K102" s="33"/>
      <c r="M102" s="24" t="str">
        <f>HYPERLINK("#'Leaves'!CX1","Q8.88_1_13")</f>
        <v>Q8.88_1_13</v>
      </c>
      <c r="N102" s="4" t="str">
        <f>HYPERLINK("#'Leaves'!CX2","Paid leave (days) provided for - Parent-in-law")</f>
        <v>Paid leave (days) provided for - Parent-in-law</v>
      </c>
      <c r="O102" s="33"/>
    </row>
    <row r="103" spans="5:19" ht="24.95" customHeight="1" thickBot="1" x14ac:dyDescent="0.3">
      <c r="G103" s="24" t="str">
        <f>HYPERLINK("#'Life, AD&amp;D, Critical Illness'!CY1","Q5.89")</f>
        <v>Q5.89</v>
      </c>
      <c r="H103" s="4" t="str">
        <f>HYPERLINK("#'Life, AD&amp;D, Critical Illness'!CY2","How cost sharing is determined")</f>
        <v>How cost sharing is determined</v>
      </c>
      <c r="I103" s="34" t="str">
        <f>HYPERLINK("#'Sickness &amp; Disability'!CY1","Q6.92_9_TEXT")</f>
        <v>Q6.92_9_TEXT</v>
      </c>
      <c r="J103" s="37" t="str">
        <f>HYPERLINK("#'Sickness &amp; Disability'!CY2","Other vendor for the most prevalent total permanent disability benefit")</f>
        <v>Other vendor for the most prevalent total permanent disability benefit</v>
      </c>
      <c r="K103" s="33"/>
      <c r="M103" s="24" t="str">
        <f>HYPERLINK("#'Leaves'!CY1","Q8.88_1_14")</f>
        <v>Q8.88_1_14</v>
      </c>
      <c r="N103" s="4" t="str">
        <f>HYPERLINK("#'Leaves'!CY2","Paid leave (days) provided for - Spouse")</f>
        <v>Paid leave (days) provided for - Spouse</v>
      </c>
      <c r="O103" s="33"/>
    </row>
    <row r="104" spans="5:19" ht="24.95" customHeight="1" x14ac:dyDescent="0.25">
      <c r="G104" s="24" t="str">
        <f>HYPERLINK("#'Life, AD&amp;D, Critical Illness'!CZ1","Q5.91")</f>
        <v>Q5.91</v>
      </c>
      <c r="H104" s="4" t="str">
        <f>HYPERLINK("#'Life, AD&amp;D, Critical Illness'!CZ2","Approach to insuring the critical illness benefit coverage")</f>
        <v>Approach to insuring the critical illness benefit coverage</v>
      </c>
      <c r="I104" s="35"/>
      <c r="J104" s="30"/>
      <c r="M104" s="24" t="str">
        <f>HYPERLINK("#'Leaves'!CZ1","Q8.88_1_15")</f>
        <v>Q8.88_1_15</v>
      </c>
      <c r="N104" s="4" t="str">
        <f>HYPERLINK("#'Leaves'!CZ2","Paid leave (days) provided for - Stepchildren")</f>
        <v>Paid leave (days) provided for - Stepchildren</v>
      </c>
      <c r="O104" s="33"/>
    </row>
    <row r="105" spans="5:19" ht="24.95" customHeight="1" x14ac:dyDescent="0.25">
      <c r="G105" s="24" t="str">
        <f>HYPERLINK("#'Life, AD&amp;D, Critical Illness'!DA1","Q5.91_5_TEXT")</f>
        <v>Q5.91_5_TEXT</v>
      </c>
      <c r="H105" s="4" t="str">
        <f>HYPERLINK("#'Life, AD&amp;D, Critical Illness'!DA2","Other way the critical illness benefit is insured")</f>
        <v>Other way the critical illness benefit is insured</v>
      </c>
      <c r="I105" s="33"/>
      <c r="M105" s="24" t="str">
        <f>HYPERLINK("#'Leaves'!DA1","Q8.88_1_16")</f>
        <v>Q8.88_1_16</v>
      </c>
      <c r="N105" s="4" t="str">
        <f>HYPERLINK("#'Leaves'!DA2","Paid leave (days) provided for - Uncle or aunt")</f>
        <v>Paid leave (days) provided for - Uncle or aunt</v>
      </c>
      <c r="O105" s="33"/>
    </row>
    <row r="106" spans="5:19" ht="24.95" customHeight="1" x14ac:dyDescent="0.25">
      <c r="G106" s="24" t="str">
        <f>HYPERLINK("#'Life, AD&amp;D, Critical Illness'!DB1","Q5.92")</f>
        <v>Q5.92</v>
      </c>
      <c r="H106" s="4" t="str">
        <f>HYPERLINK("#'Life, AD&amp;D, Critical Illness'!DB2","Type of carrier insured critical illness policy")</f>
        <v>Type of carrier insured critical illness policy</v>
      </c>
      <c r="I106" s="33"/>
      <c r="M106" s="24" t="str">
        <f>HYPERLINK("#'Leaves'!DB1","Q8.88_1_17")</f>
        <v>Q8.88_1_17</v>
      </c>
      <c r="N106" s="4" t="str">
        <f>HYPERLINK("#'Leaves'!DB2","Paid leave (days) provided for - Any other member of employee's household")</f>
        <v>Paid leave (days) provided for - Any other member of employee's household</v>
      </c>
      <c r="O106" s="33"/>
    </row>
    <row r="107" spans="5:19" ht="24.95" customHeight="1" x14ac:dyDescent="0.25">
      <c r="G107" s="24" t="str">
        <f>HYPERLINK("#'Life, AD&amp;D, Critical Illness'!DC1","Q5.92_9_TEXT")</f>
        <v>Q5.92_9_TEXT</v>
      </c>
      <c r="H107" s="4" t="str">
        <f>HYPERLINK("#'Life, AD&amp;D, Critical Illness'!DC2","Other type of carrier insured critical illness policy")</f>
        <v>Other type of carrier insured critical illness policy</v>
      </c>
      <c r="I107" s="33"/>
      <c r="M107" s="24" t="str">
        <f>HYPERLINK("#'Leaves'!DC1","Q8.88_1_18")</f>
        <v>Q8.88_1_18</v>
      </c>
      <c r="N107" s="4" t="str">
        <f>HYPERLINK("#'Leaves'!DC2","Paid leave (days) provided for - Other")</f>
        <v>Paid leave (days) provided for - Other</v>
      </c>
      <c r="O107" s="33"/>
    </row>
    <row r="108" spans="5:19" ht="24.95" customHeight="1" x14ac:dyDescent="0.25">
      <c r="G108" s="24" t="str">
        <f>HYPERLINK("#'Life, AD&amp;D, Critical Illness'!DD1","Q5.93")</f>
        <v>Q5.93</v>
      </c>
      <c r="H108" s="4" t="str">
        <f>HYPERLINK("#'Life, AD&amp;D, Critical Illness'!DD2","Other policy that the carrier insured critical illness policy is a rider to")</f>
        <v>Other policy that the carrier insured critical illness policy is a rider to</v>
      </c>
      <c r="I108" s="33"/>
      <c r="M108" s="24" t="str">
        <f>HYPERLINK("#'Leaves'!DD1","Q8.88_2_1")</f>
        <v>Q8.88_2_1</v>
      </c>
      <c r="N108" s="4" t="str">
        <f>HYPERLINK("#'Leaves'!DD2","Unpaid leave (days) provided for - Brother or sister")</f>
        <v>Unpaid leave (days) provided for - Brother or sister</v>
      </c>
      <c r="O108" s="33"/>
    </row>
    <row r="109" spans="5:19" ht="24.95" customHeight="1" x14ac:dyDescent="0.25">
      <c r="G109" s="24" t="str">
        <f>HYPERLINK("#'Life, AD&amp;D, Critical Illness'!DE1","Q5.94")</f>
        <v>Q5.94</v>
      </c>
      <c r="H109" s="4" t="str">
        <f>HYPERLINK("#'Life, AD&amp;D, Critical Illness'!DE2","Vendor for the most prevalent critical illness benefit")</f>
        <v>Vendor for the most prevalent critical illness benefit</v>
      </c>
      <c r="I109" s="33"/>
      <c r="M109" s="24" t="str">
        <f>HYPERLINK("#'Leaves'!DE1","Q8.88_2_2")</f>
        <v>Q8.88_2_2</v>
      </c>
      <c r="N109" s="4" t="str">
        <f>HYPERLINK("#'Leaves'!DE2","Unpaid leave (days) provided for - Brother-in-law or sister-in-law")</f>
        <v>Unpaid leave (days) provided for - Brother-in-law or sister-in-law</v>
      </c>
      <c r="O109" s="33"/>
    </row>
    <row r="110" spans="5:19" ht="24.95" customHeight="1" thickBot="1" x14ac:dyDescent="0.3">
      <c r="G110" s="29" t="str">
        <f>HYPERLINK("#'Life, AD&amp;D, Critical Illness'!DF1","Q5.94_18_TEXT")</f>
        <v>Q5.94_18_TEXT</v>
      </c>
      <c r="H110" s="26" t="str">
        <f>HYPERLINK("#'Life, AD&amp;D, Critical Illness'!DF2","Other vendor for the most prevalent critical illness benefit")</f>
        <v>Other vendor for the most prevalent critical illness benefit</v>
      </c>
      <c r="I110" s="33"/>
      <c r="M110" s="24" t="str">
        <f>HYPERLINK("#'Leaves'!DF1","Q8.88_2_3")</f>
        <v>Q8.88_2_3</v>
      </c>
      <c r="N110" s="4" t="str">
        <f>HYPERLINK("#'Leaves'!DF2","Unpaid leave (days) provided for - Child(ren)")</f>
        <v>Unpaid leave (days) provided for - Child(ren)</v>
      </c>
      <c r="O110" s="33"/>
    </row>
    <row r="111" spans="5:19" ht="24.95" customHeight="1" x14ac:dyDescent="0.25">
      <c r="G111" s="27"/>
      <c r="H111" s="30"/>
      <c r="M111" s="24" t="str">
        <f>HYPERLINK("#'Leaves'!DG1","Q8.88_2_4")</f>
        <v>Q8.88_2_4</v>
      </c>
      <c r="N111" s="4" t="str">
        <f>HYPERLINK("#'Leaves'!DG2","Unpaid leave (days) provided for - Cousin")</f>
        <v>Unpaid leave (days) provided for - Cousin</v>
      </c>
      <c r="O111" s="33"/>
    </row>
    <row r="112" spans="5:19" ht="24.95" customHeight="1" x14ac:dyDescent="0.25">
      <c r="M112" s="24" t="str">
        <f>HYPERLINK("#'Leaves'!DH1","Q8.88_2_5")</f>
        <v>Q8.88_2_5</v>
      </c>
      <c r="N112" s="4" t="str">
        <f>HYPERLINK("#'Leaves'!DH2","Unpaid leave (days) provided for - Common-law partner")</f>
        <v>Unpaid leave (days) provided for - Common-law partner</v>
      </c>
      <c r="O112" s="33"/>
    </row>
    <row r="113" spans="13:15" ht="24.95" customHeight="1" x14ac:dyDescent="0.25">
      <c r="M113" s="24" t="str">
        <f>HYPERLINK("#'Leaves'!DI1","Q8.88_2_6")</f>
        <v>Q8.88_2_6</v>
      </c>
      <c r="N113" s="4" t="str">
        <f>HYPERLINK("#'Leaves'!DI2","Unpaid leave (days) provided for - Foster children")</f>
        <v>Unpaid leave (days) provided for - Foster children</v>
      </c>
      <c r="O113" s="33"/>
    </row>
    <row r="114" spans="13:15" ht="24.95" customHeight="1" x14ac:dyDescent="0.25">
      <c r="M114" s="24" t="str">
        <f>HYPERLINK("#'Leaves'!DJ1","Q8.88_2_7")</f>
        <v>Q8.88_2_7</v>
      </c>
      <c r="N114" s="4" t="str">
        <f>HYPERLINK("#'Leaves'!DJ2","Unpaid leave (days) provided for - Friend")</f>
        <v>Unpaid leave (days) provided for - Friend</v>
      </c>
      <c r="O114" s="33"/>
    </row>
    <row r="115" spans="13:15" ht="24.95" customHeight="1" x14ac:dyDescent="0.25">
      <c r="M115" s="24" t="str">
        <f>HYPERLINK("#'Leaves'!DK1","Q8.88_2_8")</f>
        <v>Q8.88_2_8</v>
      </c>
      <c r="N115" s="4" t="str">
        <f>HYPERLINK("#'Leaves'!DK2","Unpaid leave (days) provided for - Grandchildren")</f>
        <v>Unpaid leave (days) provided for - Grandchildren</v>
      </c>
      <c r="O115" s="33"/>
    </row>
    <row r="116" spans="13:15" ht="24.95" customHeight="1" x14ac:dyDescent="0.25">
      <c r="M116" s="24" t="str">
        <f>HYPERLINK("#'Leaves'!DL1","Q8.88_2_9")</f>
        <v>Q8.88_2_9</v>
      </c>
      <c r="N116" s="4" t="str">
        <f>HYPERLINK("#'Leaves'!DL2","Unpaid leave (days) provided for - Grandparent")</f>
        <v>Unpaid leave (days) provided for - Grandparent</v>
      </c>
      <c r="O116" s="33"/>
    </row>
    <row r="117" spans="13:15" ht="24.95" customHeight="1" x14ac:dyDescent="0.25">
      <c r="M117" s="24" t="str">
        <f>HYPERLINK("#'Leaves'!DM1","Q8.88_2_10")</f>
        <v>Q8.88_2_10</v>
      </c>
      <c r="N117" s="4" t="str">
        <f>HYPERLINK("#'Leaves'!DM2","Unpaid leave (days) provided for - Grandparent-in-law")</f>
        <v>Unpaid leave (days) provided for - Grandparent-in-law</v>
      </c>
      <c r="O117" s="33"/>
    </row>
    <row r="118" spans="13:15" ht="24.95" customHeight="1" x14ac:dyDescent="0.25">
      <c r="M118" s="24" t="str">
        <f>HYPERLINK("#'Leaves'!DN1","Q8.88_2_11")</f>
        <v>Q8.88_2_11</v>
      </c>
      <c r="N118" s="4" t="str">
        <f>HYPERLINK("#'Leaves'!DN2","Unpaid leave (days) provided for - Niece or nephew")</f>
        <v>Unpaid leave (days) provided for - Niece or nephew</v>
      </c>
      <c r="O118" s="33"/>
    </row>
    <row r="119" spans="13:15" ht="24.95" customHeight="1" x14ac:dyDescent="0.25">
      <c r="M119" s="24" t="str">
        <f>HYPERLINK("#'Leaves'!DO1","Q8.88_2_12")</f>
        <v>Q8.88_2_12</v>
      </c>
      <c r="N119" s="4" t="str">
        <f>HYPERLINK("#'Leaves'!DO2","Unpaid leave (days) provided for - Parent")</f>
        <v>Unpaid leave (days) provided for - Parent</v>
      </c>
      <c r="O119" s="33"/>
    </row>
    <row r="120" spans="13:15" ht="24.95" customHeight="1" x14ac:dyDescent="0.25">
      <c r="M120" s="24" t="str">
        <f>HYPERLINK("#'Leaves'!DP1","Q8.88_2_13")</f>
        <v>Q8.88_2_13</v>
      </c>
      <c r="N120" s="4" t="str">
        <f>HYPERLINK("#'Leaves'!DP2","Unpaid leave (days) provided for - Parent-in-law")</f>
        <v>Unpaid leave (days) provided for - Parent-in-law</v>
      </c>
      <c r="O120" s="33"/>
    </row>
    <row r="121" spans="13:15" ht="24.95" customHeight="1" x14ac:dyDescent="0.25">
      <c r="M121" s="24" t="str">
        <f>HYPERLINK("#'Leaves'!DQ1","Q8.88_2_14")</f>
        <v>Q8.88_2_14</v>
      </c>
      <c r="N121" s="4" t="str">
        <f>HYPERLINK("#'Leaves'!DQ2","Unpaid leave (days) provided for - Spouse")</f>
        <v>Unpaid leave (days) provided for - Spouse</v>
      </c>
      <c r="O121" s="33"/>
    </row>
    <row r="122" spans="13:15" ht="24.95" customHeight="1" x14ac:dyDescent="0.25">
      <c r="M122" s="24" t="str">
        <f>HYPERLINK("#'Leaves'!DR1","Q8.88_2_15")</f>
        <v>Q8.88_2_15</v>
      </c>
      <c r="N122" s="4" t="str">
        <f>HYPERLINK("#'Leaves'!DR2","Unpaid leave (days) provided for - Stepchildren")</f>
        <v>Unpaid leave (days) provided for - Stepchildren</v>
      </c>
      <c r="O122" s="33"/>
    </row>
    <row r="123" spans="13:15" ht="24.95" customHeight="1" x14ac:dyDescent="0.25">
      <c r="M123" s="24" t="str">
        <f>HYPERLINK("#'Leaves'!DS1","Q8.88_2_16")</f>
        <v>Q8.88_2_16</v>
      </c>
      <c r="N123" s="4" t="str">
        <f>HYPERLINK("#'Leaves'!DS2","Unpaid leave (days) provided for - Uncle or aunt")</f>
        <v>Unpaid leave (days) provided for - Uncle or aunt</v>
      </c>
      <c r="O123" s="33"/>
    </row>
    <row r="124" spans="13:15" ht="24.95" customHeight="1" x14ac:dyDescent="0.25">
      <c r="M124" s="24" t="str">
        <f>HYPERLINK("#'Leaves'!DT1","Q8.88_2_17")</f>
        <v>Q8.88_2_17</v>
      </c>
      <c r="N124" s="4" t="str">
        <f>HYPERLINK("#'Leaves'!DT2","Unpaid leave (days) provided for - Any other member of employee's household")</f>
        <v>Unpaid leave (days) provided for - Any other member of employee's household</v>
      </c>
      <c r="O124" s="33"/>
    </row>
    <row r="125" spans="13:15" ht="24.95" customHeight="1" x14ac:dyDescent="0.25">
      <c r="M125" s="24" t="str">
        <f>HYPERLINK("#'Leaves'!DU1","Q8.88_2_18")</f>
        <v>Q8.88_2_18</v>
      </c>
      <c r="N125" s="4" t="str">
        <f>HYPERLINK("#'Leaves'!DU2","Unpaid leave (days) provided for - Other")</f>
        <v>Unpaid leave (days) provided for - Other</v>
      </c>
      <c r="O125" s="33"/>
    </row>
    <row r="126" spans="13:15" ht="24.95" customHeight="1" x14ac:dyDescent="0.25">
      <c r="M126" s="24" t="str">
        <f>HYPERLINK("#'Leaves'!DV1","Q8.89")</f>
        <v>Q8.89</v>
      </c>
      <c r="N126" s="4" t="str">
        <f>HYPERLINK("#'Leaves'!DV2","Pets are covered under the bereavement leave policy")</f>
        <v>Pets are covered under the bereavement leave policy</v>
      </c>
      <c r="O126" s="33"/>
    </row>
    <row r="127" spans="13:15" ht="24.95" customHeight="1" x14ac:dyDescent="0.25">
      <c r="M127" s="24" t="str">
        <f>HYPERLINK("#'Leaves'!DW1","Q8.90")</f>
        <v>Q8.90</v>
      </c>
      <c r="N127" s="4" t="str">
        <f>HYPERLINK("#'Leaves'!DW2","Bereavement leave requires proof")</f>
        <v>Bereavement leave requires proof</v>
      </c>
      <c r="O127" s="33"/>
    </row>
    <row r="128" spans="13:15" ht="24.95" customHeight="1" x14ac:dyDescent="0.25">
      <c r="M128" s="24" t="str">
        <f>HYPERLINK("#'Leaves'!DX1","Q8.91")</f>
        <v>Q8.91</v>
      </c>
      <c r="N128" s="4" t="str">
        <f>HYPERLINK("#'Leaves'!DX2","Additional time off is offered if extensive travel is required (e.g., flight, different country, etc.)")</f>
        <v>Additional time off is offered if extensive travel is required (e.g., flight, different country, etc.)</v>
      </c>
      <c r="O128" s="33"/>
    </row>
    <row r="129" spans="13:15" ht="24.95" customHeight="1" x14ac:dyDescent="0.25">
      <c r="M129" s="24" t="str">
        <f>HYPERLINK("#'Leaves'!DY1","Q8.92")</f>
        <v>Q8.92</v>
      </c>
      <c r="N129" s="4" t="str">
        <f>HYPERLINK("#'Leaves'!DY2","How the additional bereavement leave for extensive travel is paid")</f>
        <v>How the additional bereavement leave for extensive travel is paid</v>
      </c>
      <c r="O129" s="33"/>
    </row>
    <row r="130" spans="13:15" ht="24.95" customHeight="1" x14ac:dyDescent="0.25">
      <c r="M130" s="24" t="str">
        <f>HYPERLINK("#'Leaves'!DZ1","Q8.93")</f>
        <v>Q8.93</v>
      </c>
      <c r="N130" s="4" t="str">
        <f>HYPERLINK("#'Leaves'!DZ2","Number of paid days of additional bereavement leave for extensive travel provided")</f>
        <v>Number of paid days of additional bereavement leave for extensive travel provided</v>
      </c>
      <c r="O130" s="33"/>
    </row>
    <row r="131" spans="13:15" ht="24.95" customHeight="1" x14ac:dyDescent="0.25">
      <c r="M131" s="24" t="str">
        <f>HYPERLINK("#'Leaves'!EA1","Q8.94")</f>
        <v>Q8.94</v>
      </c>
      <c r="N131" s="4" t="str">
        <f>HYPERLINK("#'Leaves'!EA2","Number of unpaid days of additional bereavement leave for extensive travel provided")</f>
        <v>Number of unpaid days of additional bereavement leave for extensive travel provided</v>
      </c>
      <c r="O131" s="33"/>
    </row>
    <row r="132" spans="13:15" ht="24.95" customHeight="1" x14ac:dyDescent="0.25">
      <c r="M132" s="24" t="str">
        <f>HYPERLINK("#'Leaves'!EB1","Q8.96")</f>
        <v>Q8.96</v>
      </c>
      <c r="N132" s="4" t="str">
        <f>HYPERLINK("#'Leaves'!EB2","Length of service requirement for an employee's first sabbatical")</f>
        <v>Length of service requirement for an employee's first sabbatical</v>
      </c>
      <c r="O132" s="33"/>
    </row>
    <row r="133" spans="13:15" ht="24.95" customHeight="1" x14ac:dyDescent="0.25">
      <c r="M133" s="24" t="str">
        <f>HYPERLINK("#'Leaves'!EC1","Q8.97")</f>
        <v>Q8.97</v>
      </c>
      <c r="N133" s="4" t="str">
        <f>HYPERLINK("#'Leaves'!EC2","How the sabbatical leave is paid")</f>
        <v>How the sabbatical leave is paid</v>
      </c>
      <c r="O133" s="33"/>
    </row>
    <row r="134" spans="13:15" ht="24.95" customHeight="1" x14ac:dyDescent="0.25">
      <c r="M134" s="24" t="str">
        <f>HYPERLINK("#'Leaves'!ED1","Q8.98")</f>
        <v>Q8.98</v>
      </c>
      <c r="N134" s="4" t="str">
        <f>HYPERLINK("#'Leaves'!ED2","Maximum length of the sabbatical leave")</f>
        <v>Maximum length of the sabbatical leave</v>
      </c>
      <c r="O134" s="33"/>
    </row>
    <row r="135" spans="13:15" ht="24.95" customHeight="1" x14ac:dyDescent="0.25">
      <c r="M135" s="24" t="str">
        <f>HYPERLINK("#'Leaves'!EE1","Q8.99")</f>
        <v>Q8.99</v>
      </c>
      <c r="N135" s="4" t="str">
        <f>HYPERLINK("#'Leaves'!EE2","Benefits continue during sabbatical leave")</f>
        <v>Benefits continue during sabbatical leave</v>
      </c>
      <c r="O135" s="33"/>
    </row>
    <row r="136" spans="13:15" ht="24.95" customHeight="1" x14ac:dyDescent="0.25">
      <c r="M136" s="24" t="str">
        <f>HYPERLINK("#'Leaves'!EF1","Q8.100")</f>
        <v>Q8.100</v>
      </c>
      <c r="N136" s="4" t="str">
        <f>HYPERLINK("#'Leaves'!EF2","Type of benefits that continue during sabbatical leave")</f>
        <v>Type of benefits that continue during sabbatical leave</v>
      </c>
      <c r="O136" s="33"/>
    </row>
    <row r="137" spans="13:15" ht="24.95" customHeight="1" x14ac:dyDescent="0.25">
      <c r="M137" s="24" t="str">
        <f>HYPERLINK("#'Leaves'!EG1","Q8.102")</f>
        <v>Q8.102</v>
      </c>
      <c r="N137" s="4" t="str">
        <f>HYPERLINK("#'Leaves'!EG2","Number of shutdown days the company provides annually")</f>
        <v>Number of shutdown days the company provides annually</v>
      </c>
      <c r="O137" s="33"/>
    </row>
    <row r="138" spans="13:15" ht="24.95" customHeight="1" x14ac:dyDescent="0.25">
      <c r="M138" s="24" t="str">
        <f>HYPERLINK("#'Leaves'!EH1","Q8.103")</f>
        <v>Q8.103</v>
      </c>
      <c r="N138" s="4" t="str">
        <f>HYPERLINK("#'Leaves'!EH2","Company shutdown details")</f>
        <v>Company shutdown details</v>
      </c>
      <c r="O138" s="33"/>
    </row>
    <row r="139" spans="13:15" ht="24.95" customHeight="1" x14ac:dyDescent="0.25">
      <c r="M139" s="24" t="str">
        <f>HYPERLINK("#'Leaves'!EI1","Q8.105")</f>
        <v>Q8.105</v>
      </c>
      <c r="N139" s="4" t="str">
        <f>HYPERLINK("#'Leaves'!EI2","Optional holidays that currently offer paid time off")</f>
        <v>Optional holidays that currently offer paid time off</v>
      </c>
      <c r="O139" s="33"/>
    </row>
    <row r="140" spans="13:15" ht="24.95" customHeight="1" x14ac:dyDescent="0.25">
      <c r="M140" s="24" t="str">
        <f>HYPERLINK("#'Leaves'!EJ1","Q8.105_11_TEXT")</f>
        <v>Q8.105_11_TEXT</v>
      </c>
      <c r="N140" s="4" t="str">
        <f>HYPERLINK("#'Leaves'!EJ2","Other optional holidays that currently offer paid time off")</f>
        <v>Other optional holidays that currently offer paid time off</v>
      </c>
      <c r="O140" s="33"/>
    </row>
    <row r="141" spans="13:15" ht="24.95" customHeight="1" x14ac:dyDescent="0.25">
      <c r="M141" s="24" t="str">
        <f>HYPERLINK("#'Leaves'!EK1","Q8.106")</f>
        <v>Q8.106</v>
      </c>
      <c r="N141" s="4" t="str">
        <f>HYPERLINK("#'Leaves'!EK2","Optional holidays being considered to offer paid time off")</f>
        <v>Optional holidays being considered to offer paid time off</v>
      </c>
      <c r="O141" s="33"/>
    </row>
    <row r="142" spans="13:15" ht="24.95" customHeight="1" x14ac:dyDescent="0.25">
      <c r="M142" s="24" t="str">
        <f>HYPERLINK("#'Leaves'!EL1","Q8.107_1_1")</f>
        <v>Q8.107_1_1</v>
      </c>
      <c r="N142" s="4" t="str">
        <f>HYPERLINK("#'Leaves'!EL2","Paid leave (days) provided for - Charity projects/Volunteering")</f>
        <v>Paid leave (days) provided for - Charity projects/Volunteering</v>
      </c>
      <c r="O142" s="33"/>
    </row>
    <row r="143" spans="13:15" ht="24.95" customHeight="1" x14ac:dyDescent="0.25">
      <c r="M143" s="24" t="str">
        <f>HYPERLINK("#'Leaves'!EM1","Q8.107_1_2")</f>
        <v>Q8.107_1_2</v>
      </c>
      <c r="N143" s="4" t="str">
        <f>HYPERLINK("#'Leaves'!EM2","Unpaid leave (days) provided for - Charity projects/Volunteering")</f>
        <v>Unpaid leave (days) provided for - Charity projects/Volunteering</v>
      </c>
      <c r="O143" s="33"/>
    </row>
    <row r="144" spans="13:15" ht="24.95" customHeight="1" x14ac:dyDescent="0.25">
      <c r="M144" s="24" t="str">
        <f>HYPERLINK("#'Leaves'!EN1","Q8.107_2_1")</f>
        <v>Q8.107_2_1</v>
      </c>
      <c r="N144" s="4" t="str">
        <f>HYPERLINK("#'Leaves'!EN2","Paid leave (days) provided for - Fertility treatment")</f>
        <v>Paid leave (days) provided for - Fertility treatment</v>
      </c>
      <c r="O144" s="33"/>
    </row>
    <row r="145" spans="13:15" ht="24.95" customHeight="1" x14ac:dyDescent="0.25">
      <c r="M145" s="24" t="str">
        <f>HYPERLINK("#'Leaves'!EO1","Q8.107_2_2")</f>
        <v>Q8.107_2_2</v>
      </c>
      <c r="N145" s="4" t="str">
        <f>HYPERLINK("#'Leaves'!EO2","Unpaid leave (days) provided for - Fertility treatment")</f>
        <v>Unpaid leave (days) provided for - Fertility treatment</v>
      </c>
      <c r="O145" s="33"/>
    </row>
    <row r="146" spans="13:15" ht="24.95" customHeight="1" x14ac:dyDescent="0.25">
      <c r="M146" s="24" t="str">
        <f>HYPERLINK("#'Leaves'!EP1","Q8.107_3_1")</f>
        <v>Q8.107_3_1</v>
      </c>
      <c r="N146" s="4" t="str">
        <f>HYPERLINK("#'Leaves'!EP2","Paid leave (days) provided for - Gender affirmation")</f>
        <v>Paid leave (days) provided for - Gender affirmation</v>
      </c>
      <c r="O146" s="33"/>
    </row>
    <row r="147" spans="13:15" ht="24.95" customHeight="1" x14ac:dyDescent="0.25">
      <c r="M147" s="24" t="str">
        <f>HYPERLINK("#'Leaves'!EQ1","Q8.107_3_2")</f>
        <v>Q8.107_3_2</v>
      </c>
      <c r="N147" s="4" t="str">
        <f>HYPERLINK("#'Leaves'!EQ2","Unpaid leave (days) provided for - Gender affirmation")</f>
        <v>Unpaid leave (days) provided for - Gender affirmation</v>
      </c>
      <c r="O147" s="33"/>
    </row>
    <row r="148" spans="13:15" ht="24.95" customHeight="1" x14ac:dyDescent="0.25">
      <c r="M148" s="24" t="str">
        <f>HYPERLINK("#'Leaves'!ER1","Q8.107_4_1")</f>
        <v>Q8.107_4_1</v>
      </c>
      <c r="N148" s="4" t="str">
        <f>HYPERLINK("#'Leaves'!ER2","Paid leave (days) provided for - Jury duty")</f>
        <v>Paid leave (days) provided for - Jury duty</v>
      </c>
      <c r="O148" s="33"/>
    </row>
    <row r="149" spans="13:15" ht="24.95" customHeight="1" x14ac:dyDescent="0.25">
      <c r="M149" s="24" t="str">
        <f>HYPERLINK("#'Leaves'!ES1","Q8.107_4_2")</f>
        <v>Q8.107_4_2</v>
      </c>
      <c r="N149" s="4" t="str">
        <f>HYPERLINK("#'Leaves'!ES2","Unpaid leave (days) provided for - Jury duty")</f>
        <v>Unpaid leave (days) provided for - Jury duty</v>
      </c>
      <c r="O149" s="33"/>
    </row>
    <row r="150" spans="13:15" ht="24.95" customHeight="1" x14ac:dyDescent="0.25">
      <c r="M150" s="24" t="str">
        <f>HYPERLINK("#'Leaves'!ET1","Q8.107_5_1")</f>
        <v>Q8.107_5_1</v>
      </c>
      <c r="N150" s="4" t="str">
        <f>HYPERLINK("#'Leaves'!ET2","Paid leave (days) provided for - Marriage")</f>
        <v>Paid leave (days) provided for - Marriage</v>
      </c>
      <c r="O150" s="33"/>
    </row>
    <row r="151" spans="13:15" ht="24.95" customHeight="1" x14ac:dyDescent="0.25">
      <c r="M151" s="24" t="str">
        <f>HYPERLINK("#'Leaves'!EU1","Q8.107_5_2")</f>
        <v>Q8.107_5_2</v>
      </c>
      <c r="N151" s="4" t="str">
        <f>HYPERLINK("#'Leaves'!EU2","Unpaid leave (days) provided for - Marriage")</f>
        <v>Unpaid leave (days) provided for - Marriage</v>
      </c>
      <c r="O151" s="33"/>
    </row>
    <row r="152" spans="13:15" ht="24.95" customHeight="1" x14ac:dyDescent="0.25">
      <c r="M152" s="24" t="str">
        <f>HYPERLINK("#'Leaves'!EV1","Q8.107_6_1")</f>
        <v>Q8.107_6_1</v>
      </c>
      <c r="N152" s="4" t="str">
        <f>HYPERLINK("#'Leaves'!EV2","Paid leave (days) provided for - Military/Reserve")</f>
        <v>Paid leave (days) provided for - Military/Reserve</v>
      </c>
      <c r="O152" s="33"/>
    </row>
    <row r="153" spans="13:15" ht="24.95" customHeight="1" x14ac:dyDescent="0.25">
      <c r="M153" s="24" t="str">
        <f>HYPERLINK("#'Leaves'!EW1","Q8.107_6_2")</f>
        <v>Q8.107_6_2</v>
      </c>
      <c r="N153" s="4" t="str">
        <f>HYPERLINK("#'Leaves'!EW2","Unpaid leave (days) provided for - Military/Reserve")</f>
        <v>Unpaid leave (days) provided for - Military/Reserve</v>
      </c>
      <c r="O153" s="33"/>
    </row>
    <row r="154" spans="13:15" ht="24.95" customHeight="1" x14ac:dyDescent="0.25">
      <c r="M154" s="24" t="str">
        <f>HYPERLINK("#'Leaves'!EX1","Q8.107_7_1")</f>
        <v>Q8.107_7_1</v>
      </c>
      <c r="N154" s="4" t="str">
        <f>HYPERLINK("#'Leaves'!EX2","Paid leave (days) provided for - Miscarriage")</f>
        <v>Paid leave (days) provided for - Miscarriage</v>
      </c>
      <c r="O154" s="33"/>
    </row>
    <row r="155" spans="13:15" ht="24.95" customHeight="1" x14ac:dyDescent="0.25">
      <c r="M155" s="24" t="str">
        <f>HYPERLINK("#'Leaves'!EY1","Q8.107_7_2")</f>
        <v>Q8.107_7_2</v>
      </c>
      <c r="N155" s="4" t="str">
        <f>HYPERLINK("#'Leaves'!EY2","Unpaid leave (days) provided for - Miscarriage")</f>
        <v>Unpaid leave (days) provided for - Miscarriage</v>
      </c>
      <c r="O155" s="33"/>
    </row>
    <row r="156" spans="13:15" ht="24.95" customHeight="1" x14ac:dyDescent="0.25">
      <c r="M156" s="24" t="str">
        <f>HYPERLINK("#'Leaves'!EZ1","Q8.107_8_1")</f>
        <v>Q8.107_8_1</v>
      </c>
      <c r="N156" s="4" t="str">
        <f>HYPERLINK("#'Leaves'!EZ2","Paid leave (days) provided for - Personal days")</f>
        <v>Paid leave (days) provided for - Personal days</v>
      </c>
      <c r="O156" s="33"/>
    </row>
    <row r="157" spans="13:15" ht="24.95" customHeight="1" x14ac:dyDescent="0.25">
      <c r="M157" s="24" t="str">
        <f>HYPERLINK("#'Leaves'!FA1","Q8.107_8_2")</f>
        <v>Q8.107_8_2</v>
      </c>
      <c r="N157" s="4" t="str">
        <f>HYPERLINK("#'Leaves'!FA2","Unpaid leave (days) provided for - Personal days")</f>
        <v>Unpaid leave (days) provided for - Personal days</v>
      </c>
      <c r="O157" s="33"/>
    </row>
    <row r="158" spans="13:15" ht="24.95" customHeight="1" x14ac:dyDescent="0.25">
      <c r="M158" s="24" t="str">
        <f>HYPERLINK("#'Leaves'!FB1","Q8.107_9_1")</f>
        <v>Q8.107_9_1</v>
      </c>
      <c r="N158" s="4" t="str">
        <f>HYPERLINK("#'Leaves'!FB2","Paid leave (days) provided for - Study/Exam")</f>
        <v>Paid leave (days) provided for - Study/Exam</v>
      </c>
      <c r="O158" s="33"/>
    </row>
    <row r="159" spans="13:15" ht="24.95" customHeight="1" x14ac:dyDescent="0.25">
      <c r="M159" s="24" t="str">
        <f>HYPERLINK("#'Leaves'!FC1","Q8.107_9_2")</f>
        <v>Q8.107_9_2</v>
      </c>
      <c r="N159" s="4" t="str">
        <f>HYPERLINK("#'Leaves'!FC2","Unpaid leave (days) provided for - Study/Exam")</f>
        <v>Unpaid leave (days) provided for - Study/Exam</v>
      </c>
      <c r="O159" s="33"/>
    </row>
    <row r="160" spans="13:15" ht="24.95" customHeight="1" x14ac:dyDescent="0.25">
      <c r="M160" s="24" t="str">
        <f>HYPERLINK("#'Leaves'!FD1","Q8.108")</f>
        <v>Q8.108</v>
      </c>
      <c r="N160" s="4" t="str">
        <f>HYPERLINK("#'Leaves'!FD2","Jury service leave policy requires proof")</f>
        <v>Jury service leave policy requires proof</v>
      </c>
      <c r="O160" s="33"/>
    </row>
    <row r="161" spans="13:15" ht="24.95" customHeight="1" x14ac:dyDescent="0.25">
      <c r="M161" s="24" t="str">
        <f>HYPERLINK("#'Leaves'!FE1","Q8.109")</f>
        <v>Q8.109</v>
      </c>
      <c r="N161" s="4" t="str">
        <f>HYPERLINK("#'Leaves'!FE2","Requirements for an employee to take study leave")</f>
        <v>Requirements for an employee to take study leave</v>
      </c>
      <c r="O161" s="33"/>
    </row>
    <row r="162" spans="13:15" ht="24.95" customHeight="1" x14ac:dyDescent="0.25">
      <c r="M162" s="24" t="str">
        <f>HYPERLINK("#'Leaves'!FF1","Q8.110")</f>
        <v>Q8.110</v>
      </c>
      <c r="N162" s="4" t="str">
        <f>HYPERLINK("#'Leaves'!FF2","Other requirements for an employee to take study leave")</f>
        <v>Other requirements for an employee to take study leave</v>
      </c>
      <c r="O162" s="33"/>
    </row>
    <row r="163" spans="13:15" ht="24.95" customHeight="1" x14ac:dyDescent="0.25">
      <c r="M163" s="24" t="str">
        <f>HYPERLINK("#'Leaves'!FG1","Q8.111")</f>
        <v>Q8.111</v>
      </c>
      <c r="N163" s="4" t="str">
        <f>HYPERLINK("#'Leaves'!FG2","Approach to providing paid time off to employees to vote on Election Day")</f>
        <v>Approach to providing paid time off to employees to vote on Election Day</v>
      </c>
      <c r="O163" s="33"/>
    </row>
    <row r="164" spans="13:15" ht="24.95" customHeight="1" x14ac:dyDescent="0.25">
      <c r="M164" s="24" t="str">
        <f>HYPERLINK("#'Leaves'!FH1","Q8.111_2_TEXT")</f>
        <v>Q8.111_2_TEXT</v>
      </c>
      <c r="N164" s="4" t="str">
        <f>HYPERLINK("#'Leaves'!FH2","Other approach to providing paid time off to employees to vote on Election Day")</f>
        <v>Other approach to providing paid time off to employees to vote on Election Day</v>
      </c>
      <c r="O164" s="33"/>
    </row>
    <row r="165" spans="13:15" ht="24.95" customHeight="1" x14ac:dyDescent="0.25">
      <c r="M165" s="24" t="str">
        <f>HYPERLINK("#'Leaves'!FI1","Q8.112")</f>
        <v>Q8.112</v>
      </c>
      <c r="N165" s="4" t="str">
        <f>HYPERLINK("#'Leaves'!FI2","Frequency at which the leave policy is reviewed to support changing employee needs")</f>
        <v>Frequency at which the leave policy is reviewed to support changing employee needs</v>
      </c>
      <c r="O165" s="33"/>
    </row>
    <row r="166" spans="13:15" ht="24.95" customHeight="1" thickBot="1" x14ac:dyDescent="0.3">
      <c r="M166" s="29" t="str">
        <f>HYPERLINK("#'Leaves'!FJ1","Q8.113")</f>
        <v>Q8.113</v>
      </c>
      <c r="N166" s="26" t="str">
        <f>HYPERLINK("#'Leaves'!FJ2","Truly differentiating or unique leave policies offered")</f>
        <v>Truly differentiating or unique leave policies offered</v>
      </c>
      <c r="O166" s="33"/>
    </row>
    <row r="167" spans="13:15" ht="24.95" customHeight="1" x14ac:dyDescent="0.25">
      <c r="M167" s="27"/>
      <c r="N167" s="30"/>
    </row>
  </sheetData>
  <mergeCells count="12">
    <mergeCell ref="W1:X1"/>
    <mergeCell ref="A1:B1"/>
    <mergeCell ref="C1:D1"/>
    <mergeCell ref="E1:F1"/>
    <mergeCell ref="G1:H1"/>
    <mergeCell ref="I1:J1"/>
    <mergeCell ref="K1:L1"/>
    <mergeCell ref="M1:N1"/>
    <mergeCell ref="O1:P1"/>
    <mergeCell ref="Q1:R1"/>
    <mergeCell ref="S1:T1"/>
    <mergeCell ref="U1:V1"/>
  </mergeCells>
  <hyperlinks>
    <hyperlink ref="A1:B1" location="Demographics!A1" display="Demographics" xr:uid="{03713F63-48F0-401D-B6FD-6C945D9CDDF2}"/>
    <hyperlink ref="C1:D1" location="'Supp. Healthcare'!A1" display="Supplemental Healthcare" xr:uid="{A5E95988-AC1A-4D8C-AA33-9DB012908DC5}"/>
    <hyperlink ref="E1:F1" location="'Dental &amp; Vision'!A1" display="Dental &amp; Vision" xr:uid="{190423AD-03FB-4404-972B-781170A45F57}"/>
    <hyperlink ref="G1:H1" location="'Life, AD&amp;D, Critical Illness'!A1" display="Life Insurance, AD&amp;D, Critical Illness" xr:uid="{EB6A2264-099B-4F12-AA1B-0735926CBCDB}"/>
    <hyperlink ref="I1:J1" location="'Sickness &amp; Disability'!A1" display="Sickness &amp; Disability" xr:uid="{28AA0EDF-6ACB-4D74-9DC0-C08E256F6BCE}"/>
    <hyperlink ref="K1:L1" location="Retirement!A1" display="Retirement" xr:uid="{47B36E94-B5B0-45EA-B65A-2448936EC9F6}"/>
    <hyperlink ref="M1:N1" location="Leaves!A1" display="Leaves " xr:uid="{B4D75F84-A605-427F-B6B5-2538ADC2AEC1}"/>
    <hyperlink ref="O1:P1" location="Wellbeing!A1" display="Wellbeing" xr:uid="{9D55739E-F800-4315-A92E-479320EFF865}"/>
    <hyperlink ref="Q1:R1" location="Transportation!A1" display="Transportation" xr:uid="{DC13E063-F778-4F40-B89A-97E8B2D873A6}"/>
    <hyperlink ref="S1:T1" location="'Perqs &amp; Allowances'!A1" display="Perquisites and Allowances" xr:uid="{D05272FE-72BC-4286-B7EC-8AFE90F42EC9}"/>
    <hyperlink ref="U1:V1" location="'Flexible Benefits'!A1" display="Flexible Benefits" xr:uid="{893411A1-C6A1-4149-BDF9-4180A215CD5A}"/>
    <hyperlink ref="W1:X1" location="'Voluntary Benefits'!A1" display="Voluntary Benefits" xr:uid="{660F58A0-00AE-4D7D-9ACF-BDBD150D91B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5"/>
  <sheetViews>
    <sheetView workbookViewId="0">
      <pane xSplit="1" ySplit="2" topLeftCell="B3" activePane="bottomRight" state="frozen"/>
      <selection activeCell="J40" sqref="J40"/>
      <selection pane="topRight" activeCell="J40" sqref="J40"/>
      <selection pane="bottomLeft" activeCell="J40" sqref="J40"/>
      <selection pane="bottomRight"/>
    </sheetView>
  </sheetViews>
  <sheetFormatPr defaultColWidth="15.7109375" defaultRowHeight="12.75" x14ac:dyDescent="0.2"/>
  <cols>
    <col min="1" max="1" width="16.42578125" style="6" bestFit="1" customWidth="1"/>
    <col min="2" max="35" width="30.7109375" style="7" customWidth="1"/>
    <col min="36" max="16384" width="15.7109375" style="6"/>
  </cols>
  <sheetData>
    <row r="1" spans="1:35" s="9" customFormat="1" x14ac:dyDescent="0.2">
      <c r="A1" s="12" t="s">
        <v>1984</v>
      </c>
      <c r="B1" s="8" t="s">
        <v>73</v>
      </c>
      <c r="C1" s="8" t="s">
        <v>74</v>
      </c>
      <c r="D1" s="8" t="s">
        <v>75</v>
      </c>
      <c r="E1" s="8" t="s">
        <v>76</v>
      </c>
      <c r="F1" s="8" t="s">
        <v>77</v>
      </c>
      <c r="G1" s="8" t="s">
        <v>78</v>
      </c>
      <c r="H1" s="8" t="s">
        <v>79</v>
      </c>
      <c r="I1" s="8" t="s">
        <v>80</v>
      </c>
      <c r="J1" s="8" t="s">
        <v>81</v>
      </c>
      <c r="K1" s="8" t="s">
        <v>82</v>
      </c>
      <c r="L1" s="8" t="s">
        <v>83</v>
      </c>
      <c r="M1" s="8" t="s">
        <v>84</v>
      </c>
      <c r="N1" s="8" t="s">
        <v>85</v>
      </c>
      <c r="O1" s="8" t="s">
        <v>86</v>
      </c>
      <c r="P1" s="8" t="s">
        <v>87</v>
      </c>
      <c r="Q1" s="8" t="s">
        <v>88</v>
      </c>
      <c r="R1" s="8" t="s">
        <v>89</v>
      </c>
      <c r="S1" s="8" t="s">
        <v>90</v>
      </c>
      <c r="T1" s="8" t="s">
        <v>91</v>
      </c>
      <c r="U1" s="8" t="s">
        <v>92</v>
      </c>
      <c r="V1" s="8" t="s">
        <v>93</v>
      </c>
      <c r="W1" s="8" t="s">
        <v>94</v>
      </c>
      <c r="X1" s="8" t="s">
        <v>95</v>
      </c>
      <c r="Y1" s="8" t="s">
        <v>96</v>
      </c>
      <c r="Z1" s="8" t="s">
        <v>97</v>
      </c>
      <c r="AA1" s="8" t="s">
        <v>98</v>
      </c>
      <c r="AB1" s="8" t="s">
        <v>99</v>
      </c>
      <c r="AC1" s="8" t="s">
        <v>100</v>
      </c>
      <c r="AD1" s="8" t="s">
        <v>101</v>
      </c>
      <c r="AE1" s="8" t="s">
        <v>102</v>
      </c>
      <c r="AF1" s="8" t="s">
        <v>103</v>
      </c>
      <c r="AG1" s="8" t="s">
        <v>104</v>
      </c>
      <c r="AH1" s="8" t="s">
        <v>105</v>
      </c>
      <c r="AI1" s="8" t="s">
        <v>106</v>
      </c>
    </row>
    <row r="2" spans="1:35" s="9" customFormat="1" ht="38.25" x14ac:dyDescent="0.2">
      <c r="A2" s="9" t="s">
        <v>10</v>
      </c>
      <c r="B2" s="17" t="s">
        <v>1950</v>
      </c>
      <c r="C2" s="17" t="s">
        <v>1951</v>
      </c>
      <c r="D2" s="8" t="s">
        <v>1952</v>
      </c>
      <c r="E2" s="17" t="s">
        <v>1953</v>
      </c>
      <c r="F2" s="17" t="s">
        <v>1954</v>
      </c>
      <c r="G2" s="17" t="s">
        <v>1955</v>
      </c>
      <c r="H2" s="17" t="s">
        <v>1956</v>
      </c>
      <c r="I2" s="17" t="s">
        <v>1957</v>
      </c>
      <c r="J2" s="8" t="s">
        <v>1958</v>
      </c>
      <c r="K2" s="8" t="s">
        <v>1959</v>
      </c>
      <c r="L2" s="8" t="s">
        <v>1960</v>
      </c>
      <c r="M2" s="17" t="s">
        <v>1961</v>
      </c>
      <c r="N2" s="17" t="s">
        <v>1962</v>
      </c>
      <c r="O2" s="17" t="s">
        <v>1963</v>
      </c>
      <c r="P2" s="17" t="s">
        <v>1964</v>
      </c>
      <c r="Q2" s="17" t="s">
        <v>1965</v>
      </c>
      <c r="R2" s="17" t="s">
        <v>1966</v>
      </c>
      <c r="S2" s="17" t="s">
        <v>1967</v>
      </c>
      <c r="T2" s="17" t="s">
        <v>1968</v>
      </c>
      <c r="U2" s="17" t="s">
        <v>1969</v>
      </c>
      <c r="V2" s="17" t="s">
        <v>1970</v>
      </c>
      <c r="W2" s="17" t="s">
        <v>1971</v>
      </c>
      <c r="X2" s="17" t="s">
        <v>1972</v>
      </c>
      <c r="Y2" s="17" t="s">
        <v>1973</v>
      </c>
      <c r="Z2" s="17" t="s">
        <v>1974</v>
      </c>
      <c r="AA2" s="17" t="s">
        <v>1975</v>
      </c>
      <c r="AB2" s="17" t="s">
        <v>1976</v>
      </c>
      <c r="AC2" s="17" t="s">
        <v>1977</v>
      </c>
      <c r="AD2" s="17" t="s">
        <v>1978</v>
      </c>
      <c r="AE2" s="17" t="s">
        <v>1979</v>
      </c>
      <c r="AF2" s="17" t="s">
        <v>1980</v>
      </c>
      <c r="AG2" s="17" t="s">
        <v>1981</v>
      </c>
      <c r="AH2" s="8" t="s">
        <v>1982</v>
      </c>
      <c r="AI2" s="8" t="s">
        <v>1983</v>
      </c>
    </row>
    <row r="3" spans="1:35" ht="25.5" x14ac:dyDescent="0.2">
      <c r="A3" s="6" t="s">
        <v>69</v>
      </c>
      <c r="B3" s="7" t="s">
        <v>107</v>
      </c>
      <c r="D3" s="7" t="s">
        <v>108</v>
      </c>
      <c r="E3" s="7" t="s">
        <v>3346</v>
      </c>
      <c r="F3" s="13">
        <v>75</v>
      </c>
      <c r="G3" s="13">
        <v>25</v>
      </c>
      <c r="H3" s="13"/>
      <c r="I3" s="13"/>
      <c r="J3" s="7" t="s">
        <v>109</v>
      </c>
      <c r="K3" s="7" t="s">
        <v>134</v>
      </c>
      <c r="N3" s="7" t="s">
        <v>260</v>
      </c>
      <c r="W3" s="7" t="s">
        <v>261</v>
      </c>
      <c r="AA3" s="7" t="s">
        <v>262</v>
      </c>
      <c r="AC3" s="7" t="s">
        <v>263</v>
      </c>
      <c r="AD3" s="7" t="s">
        <v>264</v>
      </c>
      <c r="AH3" s="7" t="s">
        <v>2766</v>
      </c>
    </row>
    <row r="4" spans="1:35" ht="25.5" x14ac:dyDescent="0.2">
      <c r="A4" s="6" t="s">
        <v>45</v>
      </c>
      <c r="B4" s="7" t="s">
        <v>118</v>
      </c>
      <c r="D4" s="7" t="s">
        <v>108</v>
      </c>
      <c r="E4" s="7" t="s">
        <v>3346</v>
      </c>
      <c r="F4" s="13">
        <v>81</v>
      </c>
      <c r="G4" s="13">
        <v>19</v>
      </c>
      <c r="H4" s="13"/>
      <c r="I4" s="13"/>
      <c r="K4" s="7" t="s">
        <v>109</v>
      </c>
      <c r="W4" s="7" t="s">
        <v>193</v>
      </c>
      <c r="AA4" s="7" t="s">
        <v>194</v>
      </c>
      <c r="AH4" s="7" t="s">
        <v>2760</v>
      </c>
    </row>
    <row r="5" spans="1:35" ht="38.25" x14ac:dyDescent="0.2">
      <c r="A5" s="6" t="s">
        <v>18</v>
      </c>
      <c r="B5" s="7" t="s">
        <v>107</v>
      </c>
      <c r="D5" s="7" t="s">
        <v>129</v>
      </c>
      <c r="E5" s="7" t="s">
        <v>3346</v>
      </c>
      <c r="F5" s="13">
        <v>70</v>
      </c>
      <c r="G5" s="13">
        <v>30</v>
      </c>
      <c r="H5" s="13"/>
      <c r="I5" s="13"/>
      <c r="K5" s="7" t="s">
        <v>109</v>
      </c>
      <c r="AH5" s="7" t="s">
        <v>130</v>
      </c>
      <c r="AI5" s="7" t="s">
        <v>131</v>
      </c>
    </row>
    <row r="6" spans="1:35" ht="25.5" x14ac:dyDescent="0.2">
      <c r="A6" s="6" t="s">
        <v>30</v>
      </c>
      <c r="B6" s="7" t="s">
        <v>107</v>
      </c>
      <c r="D6" s="7" t="s">
        <v>161</v>
      </c>
      <c r="E6" s="7" t="s">
        <v>152</v>
      </c>
      <c r="F6" s="13"/>
      <c r="G6" s="13"/>
      <c r="H6" s="13"/>
      <c r="I6" s="13">
        <v>100</v>
      </c>
      <c r="J6" s="7" t="s">
        <v>134</v>
      </c>
      <c r="K6" s="7" t="s">
        <v>121</v>
      </c>
      <c r="L6" s="7" t="s">
        <v>120</v>
      </c>
      <c r="AA6" s="7" t="s">
        <v>162</v>
      </c>
    </row>
    <row r="7" spans="1:35" ht="25.5" x14ac:dyDescent="0.2">
      <c r="A7" s="6" t="s">
        <v>66</v>
      </c>
      <c r="B7" s="7" t="s">
        <v>107</v>
      </c>
      <c r="D7" s="7" t="s">
        <v>128</v>
      </c>
      <c r="E7" s="7" t="s">
        <v>3347</v>
      </c>
      <c r="F7" s="13">
        <v>53</v>
      </c>
      <c r="G7" s="13">
        <v>46</v>
      </c>
      <c r="H7" s="13">
        <v>1</v>
      </c>
      <c r="I7" s="13"/>
      <c r="J7" s="7" t="s">
        <v>109</v>
      </c>
      <c r="AH7" s="7" t="s">
        <v>2751</v>
      </c>
    </row>
    <row r="8" spans="1:35" ht="25.5" x14ac:dyDescent="0.2">
      <c r="A8" s="6" t="s">
        <v>34</v>
      </c>
      <c r="B8" s="7" t="s">
        <v>107</v>
      </c>
      <c r="D8" s="7" t="s">
        <v>113</v>
      </c>
      <c r="E8" s="7" t="s">
        <v>3346</v>
      </c>
      <c r="F8" s="13">
        <v>80</v>
      </c>
      <c r="G8" s="13">
        <v>20</v>
      </c>
      <c r="H8" s="13"/>
      <c r="I8" s="13"/>
      <c r="J8" s="7" t="s">
        <v>134</v>
      </c>
      <c r="K8" s="7" t="s">
        <v>109</v>
      </c>
      <c r="L8" s="7" t="s">
        <v>134</v>
      </c>
      <c r="AH8" s="7" t="s">
        <v>2773</v>
      </c>
      <c r="AI8" s="7" t="s">
        <v>172</v>
      </c>
    </row>
    <row r="9" spans="1:35" ht="25.5" x14ac:dyDescent="0.2">
      <c r="A9" s="6" t="s">
        <v>31</v>
      </c>
      <c r="B9" s="7" t="s">
        <v>107</v>
      </c>
      <c r="D9" s="7" t="s">
        <v>163</v>
      </c>
      <c r="E9" s="7" t="s">
        <v>3348</v>
      </c>
      <c r="F9" s="13">
        <v>70</v>
      </c>
      <c r="G9" s="13">
        <v>30</v>
      </c>
      <c r="H9" s="13"/>
      <c r="I9" s="13">
        <v>0</v>
      </c>
      <c r="K9" s="7" t="s">
        <v>109</v>
      </c>
      <c r="AH9" s="7" t="s">
        <v>2753</v>
      </c>
    </row>
    <row r="10" spans="1:35" ht="25.5" x14ac:dyDescent="0.2">
      <c r="A10" s="6" t="s">
        <v>46</v>
      </c>
      <c r="B10" s="7" t="s">
        <v>107</v>
      </c>
      <c r="D10" s="7" t="s">
        <v>125</v>
      </c>
      <c r="E10" s="7" t="s">
        <v>3348</v>
      </c>
      <c r="F10" s="13">
        <v>58</v>
      </c>
      <c r="G10" s="13">
        <v>42</v>
      </c>
      <c r="H10" s="13"/>
      <c r="I10" s="13">
        <v>0</v>
      </c>
      <c r="K10" s="7" t="s">
        <v>109</v>
      </c>
      <c r="L10" s="7" t="s">
        <v>134</v>
      </c>
      <c r="U10" s="7" t="s">
        <v>195</v>
      </c>
      <c r="W10" s="7" t="s">
        <v>196</v>
      </c>
      <c r="AC10" s="7" t="s">
        <v>197</v>
      </c>
      <c r="AH10" s="7" t="s">
        <v>2775</v>
      </c>
      <c r="AI10" s="7" t="s">
        <v>198</v>
      </c>
    </row>
    <row r="11" spans="1:35" ht="25.5" x14ac:dyDescent="0.2">
      <c r="A11" s="6" t="s">
        <v>42</v>
      </c>
      <c r="B11" s="7" t="s">
        <v>107</v>
      </c>
      <c r="D11" s="7" t="s">
        <v>142</v>
      </c>
      <c r="E11" s="7" t="s">
        <v>3346</v>
      </c>
      <c r="F11" s="13">
        <v>90</v>
      </c>
      <c r="G11" s="13">
        <v>10</v>
      </c>
      <c r="H11" s="13"/>
      <c r="I11" s="13"/>
      <c r="K11" s="7" t="s">
        <v>109</v>
      </c>
      <c r="N11" s="7" t="s">
        <v>186</v>
      </c>
      <c r="W11" s="7" t="s">
        <v>187</v>
      </c>
      <c r="X11" s="7" t="s">
        <v>188</v>
      </c>
      <c r="AA11" s="7" t="s">
        <v>189</v>
      </c>
    </row>
    <row r="12" spans="1:35" ht="38.25" x14ac:dyDescent="0.2">
      <c r="A12" s="6" t="s">
        <v>33</v>
      </c>
      <c r="B12" s="7" t="s">
        <v>107</v>
      </c>
      <c r="D12" s="7" t="s">
        <v>166</v>
      </c>
      <c r="E12" s="7" t="s">
        <v>3348</v>
      </c>
      <c r="F12" s="13">
        <v>66</v>
      </c>
      <c r="G12" s="13">
        <v>34</v>
      </c>
      <c r="H12" s="13"/>
      <c r="I12" s="13">
        <v>0</v>
      </c>
      <c r="J12" s="7" t="s">
        <v>134</v>
      </c>
      <c r="K12" s="7" t="s">
        <v>120</v>
      </c>
      <c r="L12" s="7" t="s">
        <v>134</v>
      </c>
      <c r="N12" s="7" t="s">
        <v>167</v>
      </c>
      <c r="Y12" s="7" t="s">
        <v>168</v>
      </c>
      <c r="Z12" s="7" t="s">
        <v>169</v>
      </c>
      <c r="AC12" s="7" t="s">
        <v>170</v>
      </c>
      <c r="AG12" s="7" t="s">
        <v>171</v>
      </c>
      <c r="AH12" s="7" t="s">
        <v>2755</v>
      </c>
    </row>
    <row r="13" spans="1:35" x14ac:dyDescent="0.2">
      <c r="A13" s="6" t="s">
        <v>55</v>
      </c>
      <c r="B13" s="7" t="s">
        <v>107</v>
      </c>
      <c r="D13" s="7" t="s">
        <v>159</v>
      </c>
      <c r="E13" s="7" t="s">
        <v>3346</v>
      </c>
      <c r="F13" s="13">
        <v>82</v>
      </c>
      <c r="G13" s="13">
        <v>18</v>
      </c>
      <c r="H13" s="13"/>
      <c r="I13" s="13"/>
      <c r="K13" s="7" t="s">
        <v>109</v>
      </c>
      <c r="X13" s="7" t="s">
        <v>212</v>
      </c>
      <c r="AH13" s="7" t="s">
        <v>130</v>
      </c>
      <c r="AI13" s="7" t="s">
        <v>213</v>
      </c>
    </row>
    <row r="14" spans="1:35" ht="38.25" x14ac:dyDescent="0.2">
      <c r="A14" s="6" t="s">
        <v>48</v>
      </c>
      <c r="B14" s="7" t="s">
        <v>107</v>
      </c>
      <c r="D14" s="7" t="s">
        <v>151</v>
      </c>
      <c r="E14" s="7" t="s">
        <v>3346</v>
      </c>
      <c r="F14" s="13">
        <v>81</v>
      </c>
      <c r="G14" s="13">
        <v>19</v>
      </c>
      <c r="H14" s="13"/>
      <c r="I14" s="13"/>
      <c r="J14" s="7" t="s">
        <v>109</v>
      </c>
      <c r="AA14" s="7" t="s">
        <v>200</v>
      </c>
      <c r="AG14" s="7" t="s">
        <v>201</v>
      </c>
      <c r="AH14" s="7" t="s">
        <v>130</v>
      </c>
      <c r="AI14" s="7" t="s">
        <v>202</v>
      </c>
    </row>
    <row r="15" spans="1:35" ht="25.5" x14ac:dyDescent="0.2">
      <c r="A15" s="6" t="s">
        <v>57</v>
      </c>
      <c r="B15" s="7" t="s">
        <v>107</v>
      </c>
      <c r="D15" s="7" t="s">
        <v>129</v>
      </c>
      <c r="E15" s="7" t="s">
        <v>3348</v>
      </c>
      <c r="F15" s="13">
        <v>75</v>
      </c>
      <c r="G15" s="13">
        <v>25</v>
      </c>
      <c r="H15" s="13"/>
      <c r="I15" s="13">
        <v>0</v>
      </c>
      <c r="J15" s="7" t="s">
        <v>109</v>
      </c>
      <c r="AH15" s="7" t="s">
        <v>2763</v>
      </c>
    </row>
    <row r="16" spans="1:35" x14ac:dyDescent="0.2">
      <c r="A16" s="6" t="s">
        <v>54</v>
      </c>
      <c r="B16" s="7" t="s">
        <v>107</v>
      </c>
      <c r="D16" s="7" t="s">
        <v>113</v>
      </c>
      <c r="E16" s="7" t="s">
        <v>3347</v>
      </c>
      <c r="F16" s="13">
        <v>71</v>
      </c>
      <c r="G16" s="13">
        <v>29</v>
      </c>
      <c r="H16" s="13">
        <v>0</v>
      </c>
      <c r="I16" s="13"/>
      <c r="J16" s="7" t="s">
        <v>109</v>
      </c>
      <c r="K16" s="7" t="s">
        <v>134</v>
      </c>
      <c r="AH16" s="7" t="s">
        <v>2762</v>
      </c>
    </row>
    <row r="17" spans="1:35" ht="38.25" x14ac:dyDescent="0.2">
      <c r="A17" s="6" t="s">
        <v>23</v>
      </c>
      <c r="B17" s="7" t="s">
        <v>107</v>
      </c>
      <c r="E17" s="7" t="s">
        <v>3346</v>
      </c>
      <c r="F17" s="13">
        <v>83</v>
      </c>
      <c r="G17" s="13">
        <v>17</v>
      </c>
      <c r="H17" s="13"/>
      <c r="I17" s="13"/>
      <c r="J17" s="7" t="s">
        <v>109</v>
      </c>
      <c r="K17" s="7" t="s">
        <v>120</v>
      </c>
      <c r="L17" s="7" t="s">
        <v>134</v>
      </c>
      <c r="AD17" s="7" t="s">
        <v>145</v>
      </c>
      <c r="AH17" s="7" t="s">
        <v>2771</v>
      </c>
      <c r="AI17" s="7" t="s">
        <v>146</v>
      </c>
    </row>
    <row r="18" spans="1:35" x14ac:dyDescent="0.2">
      <c r="A18" s="6" t="s">
        <v>27</v>
      </c>
      <c r="B18" s="7" t="s">
        <v>107</v>
      </c>
      <c r="D18" s="7" t="s">
        <v>128</v>
      </c>
      <c r="E18" s="7" t="s">
        <v>3348</v>
      </c>
      <c r="F18" s="13">
        <v>61</v>
      </c>
      <c r="G18" s="13">
        <v>30</v>
      </c>
      <c r="H18" s="13"/>
      <c r="I18" s="13">
        <v>9</v>
      </c>
      <c r="J18" s="7" t="s">
        <v>134</v>
      </c>
      <c r="K18" s="7" t="s">
        <v>109</v>
      </c>
      <c r="L18" s="7" t="s">
        <v>134</v>
      </c>
      <c r="U18" s="7" t="s">
        <v>156</v>
      </c>
      <c r="AD18" s="7" t="s">
        <v>157</v>
      </c>
      <c r="AH18" s="7" t="s">
        <v>130</v>
      </c>
      <c r="AI18" s="7" t="s">
        <v>158</v>
      </c>
    </row>
    <row r="19" spans="1:35" ht="51" x14ac:dyDescent="0.2">
      <c r="A19" s="6" t="s">
        <v>63</v>
      </c>
      <c r="B19" s="7" t="s">
        <v>107</v>
      </c>
      <c r="D19" s="7" t="s">
        <v>133</v>
      </c>
      <c r="E19" s="7" t="s">
        <v>3347</v>
      </c>
      <c r="F19" s="13">
        <v>78</v>
      </c>
      <c r="G19" s="13">
        <v>19</v>
      </c>
      <c r="H19" s="13">
        <v>3</v>
      </c>
      <c r="I19" s="13"/>
      <c r="J19" s="7" t="s">
        <v>120</v>
      </c>
      <c r="K19" s="7" t="s">
        <v>121</v>
      </c>
      <c r="L19" s="7" t="s">
        <v>120</v>
      </c>
      <c r="M19" s="7" t="s">
        <v>242</v>
      </c>
      <c r="Q19" s="7" t="s">
        <v>243</v>
      </c>
      <c r="S19" s="7" t="s">
        <v>244</v>
      </c>
      <c r="X19" s="7" t="s">
        <v>245</v>
      </c>
      <c r="Z19" s="7" t="s">
        <v>246</v>
      </c>
      <c r="AD19" s="7" t="s">
        <v>247</v>
      </c>
      <c r="AH19" s="7" t="s">
        <v>2773</v>
      </c>
      <c r="AI19" s="7" t="s">
        <v>248</v>
      </c>
    </row>
    <row r="20" spans="1:35" ht="25.5" x14ac:dyDescent="0.2">
      <c r="A20" s="6" t="s">
        <v>25</v>
      </c>
      <c r="B20" s="7" t="s">
        <v>107</v>
      </c>
      <c r="D20" s="7" t="s">
        <v>151</v>
      </c>
      <c r="E20" s="7" t="s">
        <v>3346</v>
      </c>
      <c r="F20" s="13">
        <v>73</v>
      </c>
      <c r="G20" s="13">
        <v>27</v>
      </c>
      <c r="H20" s="13"/>
      <c r="I20" s="13"/>
      <c r="J20" s="7" t="s">
        <v>109</v>
      </c>
      <c r="AH20" s="7" t="s">
        <v>2772</v>
      </c>
    </row>
    <row r="21" spans="1:35" ht="25.5" x14ac:dyDescent="0.2">
      <c r="A21" s="6" t="s">
        <v>26</v>
      </c>
      <c r="B21" s="7" t="s">
        <v>107</v>
      </c>
      <c r="D21" s="7" t="s">
        <v>133</v>
      </c>
      <c r="E21" s="7" t="s">
        <v>152</v>
      </c>
      <c r="F21" s="13"/>
      <c r="G21" s="13"/>
      <c r="H21" s="13"/>
      <c r="I21" s="13">
        <v>100</v>
      </c>
      <c r="J21" s="7" t="s">
        <v>109</v>
      </c>
      <c r="K21" s="7" t="s">
        <v>120</v>
      </c>
      <c r="L21" s="7" t="s">
        <v>134</v>
      </c>
      <c r="W21" s="7" t="s">
        <v>153</v>
      </c>
      <c r="X21" s="7" t="s">
        <v>154</v>
      </c>
      <c r="AG21" s="7" t="s">
        <v>155</v>
      </c>
      <c r="AH21" s="7" t="s">
        <v>2751</v>
      </c>
    </row>
    <row r="22" spans="1:35" ht="25.5" x14ac:dyDescent="0.2">
      <c r="A22" s="6" t="s">
        <v>20</v>
      </c>
      <c r="B22" s="7" t="s">
        <v>132</v>
      </c>
      <c r="D22" s="7" t="s">
        <v>133</v>
      </c>
      <c r="E22" s="7" t="s">
        <v>3348</v>
      </c>
      <c r="F22" s="13">
        <v>28</v>
      </c>
      <c r="G22" s="13">
        <v>72</v>
      </c>
      <c r="H22" s="13"/>
      <c r="I22" s="13">
        <v>0</v>
      </c>
      <c r="J22" s="7" t="s">
        <v>134</v>
      </c>
      <c r="K22" s="7" t="s">
        <v>120</v>
      </c>
      <c r="L22" s="7" t="s">
        <v>134</v>
      </c>
      <c r="U22" s="7" t="s">
        <v>135</v>
      </c>
      <c r="W22" s="7" t="s">
        <v>136</v>
      </c>
      <c r="AA22" s="7" t="s">
        <v>137</v>
      </c>
      <c r="AG22" s="7" t="s">
        <v>138</v>
      </c>
      <c r="AH22" s="7" t="s">
        <v>2768</v>
      </c>
      <c r="AI22" s="7" t="s">
        <v>139</v>
      </c>
    </row>
    <row r="23" spans="1:35" x14ac:dyDescent="0.2">
      <c r="A23" s="6" t="s">
        <v>70</v>
      </c>
      <c r="B23" s="7" t="s">
        <v>107</v>
      </c>
      <c r="E23" s="7" t="s">
        <v>3346</v>
      </c>
      <c r="F23" s="13">
        <v>95</v>
      </c>
      <c r="G23" s="13">
        <v>5</v>
      </c>
      <c r="H23" s="13"/>
      <c r="I23" s="13"/>
      <c r="J23" s="7" t="s">
        <v>109</v>
      </c>
    </row>
    <row r="24" spans="1:35" ht="25.5" x14ac:dyDescent="0.2">
      <c r="A24" s="6" t="s">
        <v>14</v>
      </c>
      <c r="B24" s="7" t="s">
        <v>118</v>
      </c>
      <c r="D24" s="7" t="s">
        <v>119</v>
      </c>
      <c r="E24" s="7" t="s">
        <v>3346</v>
      </c>
      <c r="F24" s="13">
        <v>20</v>
      </c>
      <c r="G24" s="13">
        <v>80</v>
      </c>
      <c r="H24" s="13"/>
      <c r="I24" s="13"/>
      <c r="K24" s="7" t="s">
        <v>109</v>
      </c>
      <c r="AH24" s="7" t="s">
        <v>2748</v>
      </c>
    </row>
    <row r="25" spans="1:35" ht="25.5" x14ac:dyDescent="0.2">
      <c r="A25" s="6" t="s">
        <v>24</v>
      </c>
      <c r="B25" s="7" t="s">
        <v>107</v>
      </c>
      <c r="D25" s="7" t="s">
        <v>147</v>
      </c>
      <c r="E25" s="7" t="s">
        <v>3348</v>
      </c>
      <c r="F25" s="13">
        <v>77</v>
      </c>
      <c r="G25" s="13">
        <v>22</v>
      </c>
      <c r="H25" s="13"/>
      <c r="I25" s="13">
        <v>1</v>
      </c>
      <c r="J25" s="7" t="s">
        <v>134</v>
      </c>
      <c r="K25" s="7" t="s">
        <v>121</v>
      </c>
      <c r="L25" s="7" t="s">
        <v>134</v>
      </c>
      <c r="X25" s="7" t="s">
        <v>148</v>
      </c>
      <c r="AC25" s="7" t="s">
        <v>149</v>
      </c>
      <c r="AE25" s="7" t="s">
        <v>150</v>
      </c>
      <c r="AH25" s="7" t="s">
        <v>2749</v>
      </c>
    </row>
    <row r="26" spans="1:35" ht="25.5" x14ac:dyDescent="0.2">
      <c r="A26" s="6" t="s">
        <v>37</v>
      </c>
      <c r="B26" s="7" t="s">
        <v>107</v>
      </c>
      <c r="D26" s="7" t="s">
        <v>151</v>
      </c>
      <c r="E26" s="7" t="s">
        <v>3348</v>
      </c>
      <c r="F26" s="13">
        <v>77</v>
      </c>
      <c r="G26" s="13">
        <v>23</v>
      </c>
      <c r="H26" s="13"/>
      <c r="I26" s="13">
        <v>0</v>
      </c>
      <c r="J26" s="7" t="s">
        <v>120</v>
      </c>
      <c r="K26" s="7" t="s">
        <v>120</v>
      </c>
      <c r="L26" s="7" t="s">
        <v>134</v>
      </c>
      <c r="AH26" s="7" t="s">
        <v>2757</v>
      </c>
    </row>
    <row r="27" spans="1:35" ht="63.75" x14ac:dyDescent="0.2">
      <c r="A27" s="6" t="s">
        <v>13</v>
      </c>
      <c r="B27" s="7" t="s">
        <v>107</v>
      </c>
      <c r="D27" s="7" t="s">
        <v>113</v>
      </c>
      <c r="E27" s="7" t="s">
        <v>3347</v>
      </c>
      <c r="F27" s="13">
        <v>35</v>
      </c>
      <c r="G27" s="13">
        <v>45</v>
      </c>
      <c r="H27" s="13">
        <v>20</v>
      </c>
      <c r="I27" s="13"/>
      <c r="J27" s="7" t="s">
        <v>109</v>
      </c>
      <c r="S27" s="7" t="s">
        <v>114</v>
      </c>
      <c r="W27" s="7" t="s">
        <v>115</v>
      </c>
      <c r="X27" s="7" t="s">
        <v>116</v>
      </c>
      <c r="AH27" s="7" t="s">
        <v>2769</v>
      </c>
      <c r="AI27" s="7" t="s">
        <v>117</v>
      </c>
    </row>
    <row r="28" spans="1:35" ht="25.5" x14ac:dyDescent="0.2">
      <c r="A28" s="6" t="s">
        <v>35</v>
      </c>
      <c r="B28" s="7" t="s">
        <v>107</v>
      </c>
      <c r="D28" s="7" t="s">
        <v>159</v>
      </c>
      <c r="E28" s="7" t="s">
        <v>3348</v>
      </c>
      <c r="F28" s="13">
        <v>61</v>
      </c>
      <c r="G28" s="13">
        <v>38</v>
      </c>
      <c r="H28" s="13"/>
      <c r="I28" s="13">
        <v>1</v>
      </c>
      <c r="J28" s="7" t="s">
        <v>134</v>
      </c>
      <c r="K28" s="7" t="s">
        <v>109</v>
      </c>
      <c r="X28" s="7" t="s">
        <v>173</v>
      </c>
      <c r="AH28" s="7" t="s">
        <v>2756</v>
      </c>
    </row>
    <row r="29" spans="1:35" ht="25.5" x14ac:dyDescent="0.2">
      <c r="A29" s="6" t="s">
        <v>67</v>
      </c>
      <c r="B29" s="7" t="s">
        <v>107</v>
      </c>
      <c r="D29" s="7" t="s">
        <v>142</v>
      </c>
      <c r="E29" s="7" t="s">
        <v>3348</v>
      </c>
      <c r="F29" s="13">
        <v>83</v>
      </c>
      <c r="G29" s="13">
        <v>17</v>
      </c>
      <c r="H29" s="13"/>
      <c r="I29" s="13">
        <v>0</v>
      </c>
      <c r="J29" s="7" t="s">
        <v>109</v>
      </c>
      <c r="U29" s="7" t="s">
        <v>253</v>
      </c>
      <c r="AA29" s="7" t="s">
        <v>254</v>
      </c>
      <c r="AH29" s="7" t="s">
        <v>2776</v>
      </c>
      <c r="AI29" s="7" t="s">
        <v>255</v>
      </c>
    </row>
    <row r="30" spans="1:35" ht="25.5" x14ac:dyDescent="0.2">
      <c r="A30" s="6" t="s">
        <v>49</v>
      </c>
      <c r="B30" s="7" t="s">
        <v>107</v>
      </c>
      <c r="D30" s="7" t="s">
        <v>159</v>
      </c>
      <c r="E30" s="7" t="s">
        <v>3348</v>
      </c>
      <c r="F30" s="13">
        <v>87</v>
      </c>
      <c r="G30" s="13">
        <v>13</v>
      </c>
      <c r="H30" s="13"/>
      <c r="I30" s="13">
        <v>0</v>
      </c>
      <c r="J30" s="7" t="s">
        <v>121</v>
      </c>
      <c r="K30" s="7" t="s">
        <v>134</v>
      </c>
      <c r="L30" s="7" t="s">
        <v>120</v>
      </c>
      <c r="X30" s="7" t="s">
        <v>203</v>
      </c>
      <c r="Z30" s="7" t="s">
        <v>204</v>
      </c>
      <c r="AH30" s="7" t="s">
        <v>2761</v>
      </c>
    </row>
    <row r="31" spans="1:35" ht="51" x14ac:dyDescent="0.2">
      <c r="A31" s="6" t="s">
        <v>68</v>
      </c>
      <c r="B31" s="7" t="s">
        <v>107</v>
      </c>
      <c r="E31" s="7" t="s">
        <v>3346</v>
      </c>
      <c r="F31" s="13">
        <v>50</v>
      </c>
      <c r="G31" s="13">
        <v>50</v>
      </c>
      <c r="H31" s="13"/>
      <c r="I31" s="13"/>
      <c r="J31" s="7" t="s">
        <v>134</v>
      </c>
      <c r="K31" s="7" t="s">
        <v>109</v>
      </c>
      <c r="U31" s="7" t="s">
        <v>256</v>
      </c>
      <c r="W31" s="7" t="s">
        <v>257</v>
      </c>
      <c r="X31" s="7" t="s">
        <v>258</v>
      </c>
      <c r="AD31" s="7" t="s">
        <v>259</v>
      </c>
      <c r="AH31" s="7" t="s">
        <v>2752</v>
      </c>
    </row>
    <row r="32" spans="1:35" ht="63.75" x14ac:dyDescent="0.2">
      <c r="A32" s="6" t="s">
        <v>11</v>
      </c>
      <c r="B32" s="7" t="s">
        <v>107</v>
      </c>
      <c r="D32" s="7" t="s">
        <v>108</v>
      </c>
      <c r="E32" s="7" t="s">
        <v>3346</v>
      </c>
      <c r="F32" s="13">
        <v>76</v>
      </c>
      <c r="G32" s="13">
        <v>24</v>
      </c>
      <c r="H32" s="13"/>
      <c r="I32" s="13"/>
      <c r="K32" s="7" t="s">
        <v>109</v>
      </c>
      <c r="U32" s="7" t="s">
        <v>110</v>
      </c>
      <c r="AB32" s="7" t="s">
        <v>111</v>
      </c>
      <c r="AH32" s="7" t="s">
        <v>2768</v>
      </c>
      <c r="AI32" s="7" t="s">
        <v>112</v>
      </c>
    </row>
    <row r="33" spans="1:35" x14ac:dyDescent="0.2">
      <c r="A33" s="6" t="s">
        <v>50</v>
      </c>
      <c r="B33" s="7" t="s">
        <v>107</v>
      </c>
      <c r="D33" s="7" t="s">
        <v>142</v>
      </c>
      <c r="E33" s="7" t="s">
        <v>3347</v>
      </c>
      <c r="F33" s="13">
        <v>84</v>
      </c>
      <c r="G33" s="13">
        <v>16</v>
      </c>
      <c r="H33" s="13">
        <v>0</v>
      </c>
      <c r="I33" s="13"/>
      <c r="J33" s="7" t="s">
        <v>134</v>
      </c>
      <c r="K33" s="7" t="s">
        <v>121</v>
      </c>
      <c r="L33" s="7" t="s">
        <v>134</v>
      </c>
    </row>
    <row r="34" spans="1:35" ht="25.5" x14ac:dyDescent="0.2">
      <c r="A34" s="6" t="s">
        <v>71</v>
      </c>
      <c r="B34" s="7" t="s">
        <v>118</v>
      </c>
      <c r="D34" s="7" t="s">
        <v>133</v>
      </c>
      <c r="E34" s="7" t="s">
        <v>3349</v>
      </c>
      <c r="F34" s="13">
        <v>62</v>
      </c>
      <c r="G34" s="13">
        <v>38</v>
      </c>
      <c r="H34" s="13">
        <v>0</v>
      </c>
      <c r="I34" s="13">
        <v>0</v>
      </c>
      <c r="K34" s="7" t="s">
        <v>109</v>
      </c>
      <c r="S34" s="7" t="s">
        <v>265</v>
      </c>
      <c r="U34" s="7" t="s">
        <v>266</v>
      </c>
      <c r="X34" s="7" t="s">
        <v>267</v>
      </c>
      <c r="AH34" s="7" t="s">
        <v>2767</v>
      </c>
    </row>
    <row r="35" spans="1:35" ht="25.5" x14ac:dyDescent="0.2">
      <c r="A35" s="6" t="s">
        <v>65</v>
      </c>
      <c r="B35" s="7" t="s">
        <v>107</v>
      </c>
      <c r="D35" s="7" t="s">
        <v>113</v>
      </c>
      <c r="E35" s="7" t="s">
        <v>3346</v>
      </c>
      <c r="F35" s="13">
        <v>85</v>
      </c>
      <c r="G35" s="13">
        <v>15</v>
      </c>
      <c r="H35" s="13"/>
      <c r="I35" s="13"/>
      <c r="M35" s="7" t="s">
        <v>249</v>
      </c>
      <c r="N35" s="7" t="s">
        <v>250</v>
      </c>
      <c r="Z35" s="7" t="s">
        <v>251</v>
      </c>
      <c r="AH35" s="7" t="s">
        <v>2773</v>
      </c>
      <c r="AI35" s="7" t="s">
        <v>252</v>
      </c>
    </row>
    <row r="36" spans="1:35" ht="89.25" x14ac:dyDescent="0.2">
      <c r="A36" s="6" t="s">
        <v>59</v>
      </c>
      <c r="B36" s="7" t="s">
        <v>132</v>
      </c>
      <c r="D36" s="7" t="s">
        <v>125</v>
      </c>
      <c r="E36" s="7" t="s">
        <v>3346</v>
      </c>
      <c r="F36" s="13">
        <v>82</v>
      </c>
      <c r="G36" s="13">
        <v>18</v>
      </c>
      <c r="H36" s="13"/>
      <c r="I36" s="13"/>
      <c r="J36" s="7" t="s">
        <v>134</v>
      </c>
      <c r="K36" s="7" t="s">
        <v>109</v>
      </c>
      <c r="L36" s="7" t="s">
        <v>134</v>
      </c>
      <c r="M36" s="7" t="s">
        <v>227</v>
      </c>
      <c r="Q36" s="7" t="s">
        <v>228</v>
      </c>
      <c r="R36" s="7" t="s">
        <v>229</v>
      </c>
      <c r="U36" s="7" t="s">
        <v>230</v>
      </c>
      <c r="V36" s="7" t="s">
        <v>231</v>
      </c>
      <c r="W36" s="7" t="s">
        <v>232</v>
      </c>
      <c r="X36" s="7" t="s">
        <v>233</v>
      </c>
      <c r="AA36" s="7" t="s">
        <v>234</v>
      </c>
      <c r="AD36" s="7" t="s">
        <v>235</v>
      </c>
      <c r="AH36" s="7" t="s">
        <v>2751</v>
      </c>
    </row>
    <row r="37" spans="1:35" ht="25.5" x14ac:dyDescent="0.2">
      <c r="A37" s="6" t="s">
        <v>36</v>
      </c>
      <c r="B37" s="7" t="s">
        <v>107</v>
      </c>
      <c r="D37" s="7" t="s">
        <v>129</v>
      </c>
      <c r="E37" s="7" t="s">
        <v>3348</v>
      </c>
      <c r="F37" s="13">
        <v>82</v>
      </c>
      <c r="G37" s="13">
        <v>16</v>
      </c>
      <c r="H37" s="13"/>
      <c r="I37" s="13">
        <v>2</v>
      </c>
      <c r="J37" s="7" t="s">
        <v>121</v>
      </c>
      <c r="K37" s="7" t="s">
        <v>120</v>
      </c>
      <c r="L37" s="7" t="s">
        <v>134</v>
      </c>
      <c r="P37" s="7" t="s">
        <v>174</v>
      </c>
      <c r="AG37" s="7" t="s">
        <v>175</v>
      </c>
      <c r="AH37" s="7" t="s">
        <v>2774</v>
      </c>
      <c r="AI37" s="7" t="s">
        <v>176</v>
      </c>
    </row>
    <row r="38" spans="1:35" x14ac:dyDescent="0.2">
      <c r="A38" s="6" t="s">
        <v>28</v>
      </c>
      <c r="B38" s="7" t="s">
        <v>107</v>
      </c>
      <c r="D38" s="7" t="s">
        <v>159</v>
      </c>
      <c r="E38" s="7" t="s">
        <v>3346</v>
      </c>
      <c r="F38" s="13">
        <v>74</v>
      </c>
      <c r="G38" s="13">
        <v>26</v>
      </c>
      <c r="H38" s="13"/>
      <c r="I38" s="13"/>
      <c r="K38" s="7" t="s">
        <v>109</v>
      </c>
      <c r="U38" s="7" t="s">
        <v>160</v>
      </c>
      <c r="AH38" s="7" t="s">
        <v>2752</v>
      </c>
    </row>
    <row r="39" spans="1:35" ht="25.5" x14ac:dyDescent="0.2">
      <c r="A39" s="6" t="s">
        <v>52</v>
      </c>
      <c r="B39" s="7" t="s">
        <v>118</v>
      </c>
      <c r="D39" s="7" t="s">
        <v>159</v>
      </c>
      <c r="E39" s="7" t="s">
        <v>3349</v>
      </c>
      <c r="F39" s="13">
        <v>55.1</v>
      </c>
      <c r="G39" s="13">
        <v>44.5</v>
      </c>
      <c r="H39" s="13">
        <v>0.4</v>
      </c>
      <c r="I39" s="13">
        <v>0</v>
      </c>
      <c r="K39" s="7" t="s">
        <v>109</v>
      </c>
      <c r="AH39" s="7" t="s">
        <v>2758</v>
      </c>
    </row>
    <row r="40" spans="1:35" x14ac:dyDescent="0.2">
      <c r="A40" s="6" t="s">
        <v>19</v>
      </c>
      <c r="B40" s="7" t="s">
        <v>107</v>
      </c>
      <c r="D40" s="7" t="s">
        <v>119</v>
      </c>
      <c r="E40" s="7" t="s">
        <v>3346</v>
      </c>
      <c r="F40" s="13">
        <v>69</v>
      </c>
      <c r="G40" s="13">
        <v>31</v>
      </c>
      <c r="H40" s="13"/>
      <c r="I40" s="13"/>
      <c r="J40" s="7" t="s">
        <v>109</v>
      </c>
    </row>
    <row r="41" spans="1:35" ht="76.5" x14ac:dyDescent="0.2">
      <c r="A41" s="6" t="s">
        <v>51</v>
      </c>
      <c r="B41" s="7" t="s">
        <v>107</v>
      </c>
      <c r="D41" s="7" t="s">
        <v>129</v>
      </c>
      <c r="E41" s="7" t="s">
        <v>3346</v>
      </c>
      <c r="F41" s="13">
        <v>70</v>
      </c>
      <c r="G41" s="13">
        <v>30</v>
      </c>
      <c r="H41" s="13"/>
      <c r="I41" s="13"/>
      <c r="J41" s="7" t="s">
        <v>121</v>
      </c>
      <c r="K41" s="7" t="s">
        <v>134</v>
      </c>
      <c r="L41" s="7" t="s">
        <v>134</v>
      </c>
      <c r="Q41" s="7" t="s">
        <v>3358</v>
      </c>
      <c r="U41" s="7" t="s">
        <v>205</v>
      </c>
      <c r="X41" s="7" t="s">
        <v>206</v>
      </c>
      <c r="AA41" s="7" t="s">
        <v>207</v>
      </c>
      <c r="AG41" s="7" t="s">
        <v>208</v>
      </c>
      <c r="AH41" s="7" t="s">
        <v>2758</v>
      </c>
    </row>
    <row r="42" spans="1:35" ht="25.5" x14ac:dyDescent="0.2">
      <c r="A42" s="6" t="s">
        <v>47</v>
      </c>
      <c r="B42" s="7" t="s">
        <v>107</v>
      </c>
      <c r="D42" s="7" t="s">
        <v>199</v>
      </c>
      <c r="E42" s="7" t="s">
        <v>3346</v>
      </c>
      <c r="F42" s="13">
        <v>54</v>
      </c>
      <c r="G42" s="13">
        <v>46</v>
      </c>
      <c r="H42" s="13"/>
      <c r="I42" s="13"/>
      <c r="J42" s="7" t="s">
        <v>109</v>
      </c>
      <c r="AH42" s="7" t="s">
        <v>2749</v>
      </c>
    </row>
    <row r="43" spans="1:35" ht="38.25" x14ac:dyDescent="0.2">
      <c r="A43" s="6" t="s">
        <v>56</v>
      </c>
      <c r="B43" s="7" t="s">
        <v>107</v>
      </c>
      <c r="D43" s="7" t="s">
        <v>161</v>
      </c>
      <c r="E43" s="7" t="s">
        <v>3346</v>
      </c>
      <c r="F43" s="13">
        <v>65</v>
      </c>
      <c r="G43" s="13">
        <v>35</v>
      </c>
      <c r="H43" s="13"/>
      <c r="I43" s="13"/>
      <c r="J43" s="7" t="s">
        <v>120</v>
      </c>
      <c r="K43" s="7" t="s">
        <v>121</v>
      </c>
      <c r="Q43" s="7" t="s">
        <v>214</v>
      </c>
      <c r="R43" s="7" t="s">
        <v>215</v>
      </c>
      <c r="S43" s="7" t="s">
        <v>216</v>
      </c>
      <c r="U43" s="7" t="s">
        <v>217</v>
      </c>
      <c r="X43" s="7" t="s">
        <v>218</v>
      </c>
      <c r="Y43" s="7" t="s">
        <v>219</v>
      </c>
      <c r="AD43" s="7" t="s">
        <v>220</v>
      </c>
      <c r="AH43" s="7" t="s">
        <v>2749</v>
      </c>
    </row>
    <row r="44" spans="1:35" ht="25.5" x14ac:dyDescent="0.2">
      <c r="A44" s="6" t="s">
        <v>62</v>
      </c>
      <c r="B44" s="7" t="s">
        <v>107</v>
      </c>
      <c r="E44" s="7" t="s">
        <v>152</v>
      </c>
      <c r="F44" s="13"/>
      <c r="G44" s="13"/>
      <c r="H44" s="13"/>
      <c r="I44" s="13">
        <v>100</v>
      </c>
      <c r="J44" s="7" t="s">
        <v>134</v>
      </c>
      <c r="K44" s="7" t="s">
        <v>121</v>
      </c>
      <c r="AH44" s="7" t="s">
        <v>2757</v>
      </c>
    </row>
    <row r="45" spans="1:35" ht="38.25" x14ac:dyDescent="0.2">
      <c r="A45" s="6" t="s">
        <v>21</v>
      </c>
      <c r="B45" s="7" t="s">
        <v>107</v>
      </c>
      <c r="D45" s="7" t="s">
        <v>140</v>
      </c>
      <c r="E45" s="7" t="s">
        <v>3346</v>
      </c>
      <c r="F45" s="13">
        <v>30.6</v>
      </c>
      <c r="G45" s="13">
        <v>69.400000000000006</v>
      </c>
      <c r="H45" s="13"/>
      <c r="I45" s="13"/>
      <c r="K45" s="7" t="s">
        <v>109</v>
      </c>
      <c r="AA45" s="7" t="s">
        <v>141</v>
      </c>
      <c r="AH45" s="7" t="s">
        <v>2751</v>
      </c>
    </row>
    <row r="46" spans="1:35" x14ac:dyDescent="0.2">
      <c r="A46" s="6" t="s">
        <v>12</v>
      </c>
      <c r="F46" s="13"/>
      <c r="G46" s="13"/>
      <c r="H46" s="13"/>
      <c r="I46" s="13"/>
    </row>
    <row r="47" spans="1:35" x14ac:dyDescent="0.2">
      <c r="A47" s="6" t="s">
        <v>64</v>
      </c>
      <c r="B47" s="7" t="s">
        <v>132</v>
      </c>
      <c r="E47" s="7" t="s">
        <v>3346</v>
      </c>
      <c r="F47" s="13">
        <v>85</v>
      </c>
      <c r="G47" s="13">
        <v>15</v>
      </c>
      <c r="H47" s="13"/>
      <c r="I47" s="13"/>
      <c r="J47" s="7" t="s">
        <v>109</v>
      </c>
      <c r="K47" s="7" t="s">
        <v>134</v>
      </c>
      <c r="L47" s="7" t="s">
        <v>134</v>
      </c>
      <c r="AH47" s="7" t="s">
        <v>2765</v>
      </c>
    </row>
    <row r="48" spans="1:35" ht="25.5" x14ac:dyDescent="0.2">
      <c r="A48" s="6" t="s">
        <v>38</v>
      </c>
      <c r="B48" s="7" t="s">
        <v>107</v>
      </c>
      <c r="D48" s="7" t="s">
        <v>129</v>
      </c>
      <c r="E48" s="7" t="s">
        <v>3348</v>
      </c>
      <c r="F48" s="13">
        <v>73</v>
      </c>
      <c r="G48" s="13">
        <v>27</v>
      </c>
      <c r="H48" s="13"/>
      <c r="I48" s="13">
        <v>0</v>
      </c>
      <c r="J48" s="7" t="s">
        <v>120</v>
      </c>
      <c r="K48" s="7" t="s">
        <v>120</v>
      </c>
      <c r="L48" s="7" t="s">
        <v>134</v>
      </c>
      <c r="U48" s="7" t="s">
        <v>177</v>
      </c>
      <c r="AC48" s="7" t="s">
        <v>178</v>
      </c>
      <c r="AF48" s="7" t="s">
        <v>179</v>
      </c>
      <c r="AH48" s="7" t="s">
        <v>2758</v>
      </c>
    </row>
    <row r="49" spans="1:35" ht="25.5" x14ac:dyDescent="0.2">
      <c r="A49" s="6" t="s">
        <v>41</v>
      </c>
      <c r="B49" s="7" t="s">
        <v>132</v>
      </c>
      <c r="D49" s="7" t="s">
        <v>119</v>
      </c>
      <c r="E49" s="7" t="s">
        <v>3349</v>
      </c>
      <c r="F49" s="13">
        <v>69</v>
      </c>
      <c r="G49" s="13">
        <v>27</v>
      </c>
      <c r="H49" s="13">
        <v>0</v>
      </c>
      <c r="I49" s="13">
        <v>4</v>
      </c>
      <c r="J49" s="7" t="s">
        <v>134</v>
      </c>
      <c r="K49" s="7" t="s">
        <v>121</v>
      </c>
      <c r="L49" s="7" t="s">
        <v>134</v>
      </c>
      <c r="AE49" s="7" t="s">
        <v>185</v>
      </c>
      <c r="AH49" s="7" t="s">
        <v>2759</v>
      </c>
    </row>
    <row r="50" spans="1:35" x14ac:dyDescent="0.2">
      <c r="A50" s="6" t="s">
        <v>29</v>
      </c>
      <c r="B50" s="7" t="s">
        <v>118</v>
      </c>
      <c r="D50" s="7" t="s">
        <v>159</v>
      </c>
      <c r="E50" s="7" t="s">
        <v>3347</v>
      </c>
      <c r="F50" s="13">
        <v>74</v>
      </c>
      <c r="G50" s="13">
        <v>24</v>
      </c>
      <c r="H50" s="13">
        <v>2</v>
      </c>
      <c r="I50" s="13"/>
    </row>
    <row r="51" spans="1:35" ht="25.5" x14ac:dyDescent="0.2">
      <c r="A51" s="6" t="s">
        <v>17</v>
      </c>
      <c r="B51" s="7" t="s">
        <v>107</v>
      </c>
      <c r="D51" s="7" t="s">
        <v>128</v>
      </c>
      <c r="E51" s="7" t="s">
        <v>3348</v>
      </c>
      <c r="F51" s="13">
        <v>60</v>
      </c>
      <c r="G51" s="13">
        <v>20</v>
      </c>
      <c r="H51" s="13"/>
      <c r="I51" s="13">
        <v>20</v>
      </c>
      <c r="AH51" s="7" t="s">
        <v>2748</v>
      </c>
    </row>
    <row r="52" spans="1:35" ht="25.5" x14ac:dyDescent="0.2">
      <c r="A52" s="6" t="s">
        <v>22</v>
      </c>
      <c r="B52" s="7" t="s">
        <v>132</v>
      </c>
      <c r="D52" s="7" t="s">
        <v>142</v>
      </c>
      <c r="E52" s="7" t="s">
        <v>3348</v>
      </c>
      <c r="F52" s="13">
        <v>89</v>
      </c>
      <c r="G52" s="13">
        <v>11</v>
      </c>
      <c r="H52" s="13"/>
      <c r="I52" s="13">
        <v>0</v>
      </c>
      <c r="K52" s="7" t="s">
        <v>109</v>
      </c>
      <c r="P52" s="7" t="s">
        <v>143</v>
      </c>
      <c r="AH52" s="7" t="s">
        <v>2770</v>
      </c>
      <c r="AI52" s="7" t="s">
        <v>144</v>
      </c>
    </row>
    <row r="53" spans="1:35" ht="51" x14ac:dyDescent="0.2">
      <c r="A53" s="6" t="s">
        <v>53</v>
      </c>
      <c r="B53" s="7" t="s">
        <v>107</v>
      </c>
      <c r="D53" s="7" t="s">
        <v>140</v>
      </c>
      <c r="E53" s="7" t="s">
        <v>3348</v>
      </c>
      <c r="F53" s="13">
        <v>48.5</v>
      </c>
      <c r="G53" s="13">
        <v>48.5</v>
      </c>
      <c r="H53" s="13"/>
      <c r="I53" s="13">
        <v>3</v>
      </c>
      <c r="J53" s="7" t="s">
        <v>134</v>
      </c>
      <c r="K53" s="7" t="s">
        <v>109</v>
      </c>
      <c r="L53" s="7" t="s">
        <v>134</v>
      </c>
      <c r="U53" s="7" t="s">
        <v>209</v>
      </c>
      <c r="W53" s="7" t="s">
        <v>210</v>
      </c>
      <c r="X53" s="7" t="s">
        <v>211</v>
      </c>
      <c r="AH53" s="7" t="s">
        <v>2751</v>
      </c>
    </row>
    <row r="54" spans="1:35" ht="25.5" x14ac:dyDescent="0.2">
      <c r="A54" s="6" t="s">
        <v>43</v>
      </c>
      <c r="B54" s="7" t="s">
        <v>107</v>
      </c>
      <c r="D54" s="7" t="s">
        <v>128</v>
      </c>
      <c r="E54" s="7" t="s">
        <v>3348</v>
      </c>
      <c r="F54" s="13">
        <v>74</v>
      </c>
      <c r="G54" s="13">
        <v>26</v>
      </c>
      <c r="H54" s="13"/>
      <c r="I54" s="13">
        <v>0</v>
      </c>
      <c r="J54" s="7" t="s">
        <v>120</v>
      </c>
      <c r="K54" s="7" t="s">
        <v>121</v>
      </c>
      <c r="L54" s="7" t="s">
        <v>121</v>
      </c>
      <c r="X54" s="7" t="s">
        <v>190</v>
      </c>
      <c r="AG54" s="7" t="s">
        <v>191</v>
      </c>
      <c r="AH54" s="7" t="s">
        <v>2758</v>
      </c>
    </row>
    <row r="55" spans="1:35" ht="38.25" x14ac:dyDescent="0.2">
      <c r="A55" s="6" t="s">
        <v>61</v>
      </c>
      <c r="B55" s="7" t="s">
        <v>107</v>
      </c>
      <c r="D55" s="7" t="s">
        <v>119</v>
      </c>
      <c r="E55" s="7" t="s">
        <v>3348</v>
      </c>
      <c r="F55" s="13">
        <v>83</v>
      </c>
      <c r="G55" s="13">
        <v>16</v>
      </c>
      <c r="H55" s="13"/>
      <c r="I55" s="13">
        <v>1</v>
      </c>
      <c r="J55" s="7" t="s">
        <v>109</v>
      </c>
      <c r="L55" s="7" t="s">
        <v>134</v>
      </c>
      <c r="W55" s="7" t="s">
        <v>237</v>
      </c>
      <c r="X55" s="7" t="s">
        <v>238</v>
      </c>
      <c r="AA55" s="7" t="s">
        <v>239</v>
      </c>
      <c r="AD55" s="7" t="s">
        <v>240</v>
      </c>
      <c r="AG55" s="7" t="s">
        <v>241</v>
      </c>
      <c r="AH55" s="7" t="s">
        <v>2764</v>
      </c>
    </row>
    <row r="56" spans="1:35" ht="63.75" x14ac:dyDescent="0.2">
      <c r="A56" s="6" t="s">
        <v>72</v>
      </c>
      <c r="B56" s="7" t="s">
        <v>132</v>
      </c>
      <c r="D56" s="7" t="s">
        <v>113</v>
      </c>
      <c r="E56" s="7" t="s">
        <v>3348</v>
      </c>
      <c r="F56" s="13">
        <v>74</v>
      </c>
      <c r="G56" s="13">
        <v>17</v>
      </c>
      <c r="H56" s="13"/>
      <c r="I56" s="13">
        <v>9</v>
      </c>
      <c r="J56" s="7" t="s">
        <v>121</v>
      </c>
      <c r="K56" s="7" t="s">
        <v>109</v>
      </c>
      <c r="L56" s="7" t="s">
        <v>134</v>
      </c>
      <c r="R56" s="7" t="s">
        <v>268</v>
      </c>
      <c r="U56" s="7" t="s">
        <v>269</v>
      </c>
      <c r="X56" s="7" t="s">
        <v>3351</v>
      </c>
      <c r="AA56" s="7" t="s">
        <v>270</v>
      </c>
      <c r="AH56" s="7" t="s">
        <v>2767</v>
      </c>
    </row>
    <row r="57" spans="1:35" ht="25.5" x14ac:dyDescent="0.2">
      <c r="A57" s="6" t="s">
        <v>16</v>
      </c>
      <c r="B57" s="7" t="s">
        <v>107</v>
      </c>
      <c r="D57" s="7" t="s">
        <v>125</v>
      </c>
      <c r="E57" s="7" t="s">
        <v>3347</v>
      </c>
      <c r="F57" s="13">
        <v>85</v>
      </c>
      <c r="G57" s="13">
        <v>15</v>
      </c>
      <c r="H57" s="13">
        <v>0</v>
      </c>
      <c r="I57" s="13"/>
      <c r="J57" s="7" t="s">
        <v>120</v>
      </c>
      <c r="K57" s="7" t="s">
        <v>121</v>
      </c>
      <c r="L57" s="7" t="s">
        <v>120</v>
      </c>
      <c r="U57" s="7" t="s">
        <v>126</v>
      </c>
      <c r="AD57" s="7" t="s">
        <v>127</v>
      </c>
      <c r="AH57" s="7" t="s">
        <v>2750</v>
      </c>
    </row>
    <row r="58" spans="1:35" ht="25.5" x14ac:dyDescent="0.2">
      <c r="A58" s="6" t="s">
        <v>32</v>
      </c>
      <c r="B58" s="7" t="s">
        <v>107</v>
      </c>
      <c r="D58" s="7" t="s">
        <v>164</v>
      </c>
      <c r="E58" s="7" t="s">
        <v>3346</v>
      </c>
      <c r="F58" s="13">
        <v>90</v>
      </c>
      <c r="G58" s="13">
        <v>10</v>
      </c>
      <c r="H58" s="13"/>
      <c r="I58" s="13"/>
      <c r="J58" s="7" t="s">
        <v>121</v>
      </c>
      <c r="K58" s="7" t="s">
        <v>134</v>
      </c>
      <c r="L58" s="7" t="s">
        <v>134</v>
      </c>
      <c r="AG58" s="7" t="s">
        <v>165</v>
      </c>
      <c r="AH58" s="7" t="s">
        <v>2754</v>
      </c>
    </row>
    <row r="59" spans="1:35" ht="63.75" x14ac:dyDescent="0.2">
      <c r="A59" s="6" t="s">
        <v>60</v>
      </c>
      <c r="B59" s="7" t="s">
        <v>118</v>
      </c>
      <c r="D59" s="7" t="s">
        <v>161</v>
      </c>
      <c r="E59" s="7" t="s">
        <v>3346</v>
      </c>
      <c r="F59" s="13">
        <v>75</v>
      </c>
      <c r="G59" s="13">
        <v>25</v>
      </c>
      <c r="H59" s="13"/>
      <c r="I59" s="13"/>
      <c r="J59" s="7" t="s">
        <v>120</v>
      </c>
      <c r="K59" s="7" t="s">
        <v>109</v>
      </c>
      <c r="L59" s="7" t="s">
        <v>134</v>
      </c>
      <c r="AD59" s="7" t="s">
        <v>3359</v>
      </c>
      <c r="AH59" s="7" t="s">
        <v>2773</v>
      </c>
      <c r="AI59" s="7" t="s">
        <v>236</v>
      </c>
    </row>
    <row r="60" spans="1:35" ht="140.25" x14ac:dyDescent="0.2">
      <c r="A60" s="6" t="s">
        <v>39</v>
      </c>
      <c r="B60" s="7" t="s">
        <v>107</v>
      </c>
      <c r="D60" s="7" t="s">
        <v>180</v>
      </c>
      <c r="E60" s="7" t="s">
        <v>3347</v>
      </c>
      <c r="F60" s="13">
        <v>55</v>
      </c>
      <c r="G60" s="13">
        <v>35</v>
      </c>
      <c r="H60" s="13">
        <v>10</v>
      </c>
      <c r="I60" s="13"/>
      <c r="J60" s="7" t="s">
        <v>120</v>
      </c>
      <c r="K60" s="7" t="s">
        <v>121</v>
      </c>
      <c r="L60" s="7" t="s">
        <v>134</v>
      </c>
      <c r="U60" s="7" t="s">
        <v>181</v>
      </c>
      <c r="V60" s="7" t="s">
        <v>3350</v>
      </c>
      <c r="AH60" s="7" t="s">
        <v>2749</v>
      </c>
    </row>
    <row r="61" spans="1:35" ht="38.25" x14ac:dyDescent="0.2">
      <c r="A61" s="6" t="s">
        <v>40</v>
      </c>
      <c r="B61" s="7" t="s">
        <v>107</v>
      </c>
      <c r="D61" s="7" t="s">
        <v>142</v>
      </c>
      <c r="E61" s="7" t="s">
        <v>3346</v>
      </c>
      <c r="F61" s="13">
        <v>70</v>
      </c>
      <c r="G61" s="13">
        <v>30</v>
      </c>
      <c r="H61" s="13"/>
      <c r="I61" s="13"/>
      <c r="R61" s="7" t="s">
        <v>182</v>
      </c>
      <c r="U61" s="7" t="s">
        <v>183</v>
      </c>
      <c r="W61" s="7" t="s">
        <v>184</v>
      </c>
    </row>
    <row r="62" spans="1:35" ht="25.5" x14ac:dyDescent="0.2">
      <c r="A62" s="6" t="s">
        <v>44</v>
      </c>
      <c r="B62" s="7" t="s">
        <v>107</v>
      </c>
      <c r="D62" s="7" t="s">
        <v>113</v>
      </c>
      <c r="E62" s="7" t="s">
        <v>3347</v>
      </c>
      <c r="F62" s="13">
        <v>75</v>
      </c>
      <c r="G62" s="13">
        <v>25</v>
      </c>
      <c r="H62" s="13">
        <v>0</v>
      </c>
      <c r="I62" s="13"/>
      <c r="J62" s="7" t="s">
        <v>120</v>
      </c>
      <c r="K62" s="7" t="s">
        <v>120</v>
      </c>
      <c r="L62" s="7" t="s">
        <v>134</v>
      </c>
      <c r="AD62" s="7" t="s">
        <v>192</v>
      </c>
      <c r="AH62" s="7" t="s">
        <v>2749</v>
      </c>
    </row>
    <row r="63" spans="1:35" ht="25.5" x14ac:dyDescent="0.2">
      <c r="A63" s="6" t="s">
        <v>58</v>
      </c>
      <c r="B63" s="7" t="s">
        <v>107</v>
      </c>
      <c r="D63" s="7" t="s">
        <v>147</v>
      </c>
      <c r="E63" s="7" t="s">
        <v>3348</v>
      </c>
      <c r="F63" s="13">
        <v>74.319999999999993</v>
      </c>
      <c r="G63" s="13">
        <v>25.41</v>
      </c>
      <c r="H63" s="13"/>
      <c r="I63" s="13">
        <v>0.27</v>
      </c>
      <c r="J63" s="7" t="s">
        <v>121</v>
      </c>
      <c r="K63" s="7" t="s">
        <v>120</v>
      </c>
      <c r="L63" s="7" t="s">
        <v>134</v>
      </c>
      <c r="N63" s="7" t="s">
        <v>221</v>
      </c>
      <c r="P63" s="7" t="s">
        <v>222</v>
      </c>
      <c r="V63" s="7" t="s">
        <v>223</v>
      </c>
      <c r="AE63" s="7" t="s">
        <v>224</v>
      </c>
      <c r="AG63" s="7" t="s">
        <v>225</v>
      </c>
      <c r="AH63" s="7" t="s">
        <v>2776</v>
      </c>
      <c r="AI63" s="7" t="s">
        <v>226</v>
      </c>
    </row>
    <row r="64" spans="1:35" ht="38.25" x14ac:dyDescent="0.2">
      <c r="A64" s="6" t="s">
        <v>15</v>
      </c>
      <c r="B64" s="7" t="s">
        <v>107</v>
      </c>
      <c r="D64" s="7" t="s">
        <v>113</v>
      </c>
      <c r="E64" s="7" t="s">
        <v>3348</v>
      </c>
      <c r="F64" s="13">
        <v>63</v>
      </c>
      <c r="G64" s="13">
        <v>36</v>
      </c>
      <c r="H64" s="13"/>
      <c r="I64" s="13">
        <v>1</v>
      </c>
      <c r="J64" s="7" t="s">
        <v>120</v>
      </c>
      <c r="K64" s="7" t="s">
        <v>120</v>
      </c>
      <c r="L64" s="7" t="s">
        <v>121</v>
      </c>
      <c r="N64" s="7" t="s">
        <v>122</v>
      </c>
      <c r="AG64" s="7" t="s">
        <v>123</v>
      </c>
      <c r="AH64" s="7" t="s">
        <v>2749</v>
      </c>
    </row>
    <row r="65" spans="1:35" x14ac:dyDescent="0.2">
      <c r="A65" s="20" t="s">
        <v>3357</v>
      </c>
      <c r="B65" s="7">
        <f>COUNTA(B3:B64)</f>
        <v>61</v>
      </c>
      <c r="C65" s="7">
        <f t="shared" ref="C65:AI65" si="0">COUNTA(C3:C64)</f>
        <v>0</v>
      </c>
      <c r="D65" s="7">
        <f t="shared" si="0"/>
        <v>56</v>
      </c>
      <c r="E65" s="7">
        <f t="shared" si="0"/>
        <v>61</v>
      </c>
      <c r="F65" s="7">
        <f t="shared" si="0"/>
        <v>58</v>
      </c>
      <c r="G65" s="7">
        <f t="shared" si="0"/>
        <v>58</v>
      </c>
      <c r="H65" s="7">
        <f t="shared" si="0"/>
        <v>12</v>
      </c>
      <c r="I65" s="7">
        <f t="shared" si="0"/>
        <v>27</v>
      </c>
      <c r="J65" s="7">
        <f t="shared" si="0"/>
        <v>44</v>
      </c>
      <c r="K65" s="7">
        <f t="shared" si="0"/>
        <v>47</v>
      </c>
      <c r="L65" s="7">
        <f t="shared" si="0"/>
        <v>30</v>
      </c>
      <c r="M65" s="7">
        <f t="shared" si="0"/>
        <v>3</v>
      </c>
      <c r="N65" s="7">
        <f t="shared" si="0"/>
        <v>6</v>
      </c>
      <c r="O65" s="7">
        <f t="shared" si="0"/>
        <v>0</v>
      </c>
      <c r="P65" s="7">
        <f t="shared" si="0"/>
        <v>3</v>
      </c>
      <c r="Q65" s="7">
        <f t="shared" si="0"/>
        <v>4</v>
      </c>
      <c r="R65" s="7">
        <f t="shared" si="0"/>
        <v>4</v>
      </c>
      <c r="S65" s="7">
        <f t="shared" si="0"/>
        <v>4</v>
      </c>
      <c r="T65" s="7">
        <f t="shared" si="0"/>
        <v>0</v>
      </c>
      <c r="U65" s="7">
        <f t="shared" si="0"/>
        <v>17</v>
      </c>
      <c r="V65" s="7">
        <f t="shared" si="0"/>
        <v>3</v>
      </c>
      <c r="W65" s="7">
        <f t="shared" si="0"/>
        <v>12</v>
      </c>
      <c r="X65" s="7">
        <f t="shared" si="0"/>
        <v>17</v>
      </c>
      <c r="Y65" s="7">
        <f t="shared" si="0"/>
        <v>2</v>
      </c>
      <c r="Z65" s="7">
        <f t="shared" si="0"/>
        <v>4</v>
      </c>
      <c r="AA65" s="7">
        <f t="shared" si="0"/>
        <v>12</v>
      </c>
      <c r="AB65" s="7">
        <f t="shared" si="0"/>
        <v>1</v>
      </c>
      <c r="AC65" s="7">
        <f t="shared" si="0"/>
        <v>5</v>
      </c>
      <c r="AD65" s="7">
        <f t="shared" si="0"/>
        <v>11</v>
      </c>
      <c r="AE65" s="7">
        <f t="shared" si="0"/>
        <v>3</v>
      </c>
      <c r="AF65" s="7">
        <f t="shared" si="0"/>
        <v>1</v>
      </c>
      <c r="AG65" s="7">
        <f t="shared" si="0"/>
        <v>11</v>
      </c>
      <c r="AH65" s="7">
        <f t="shared" si="0"/>
        <v>54</v>
      </c>
      <c r="AI65" s="7">
        <f t="shared" si="0"/>
        <v>17</v>
      </c>
    </row>
  </sheetData>
  <autoFilter ref="A2:AI64" xr:uid="{0939BAC1-E015-4415-AE5B-1F0A5DE911D9}"/>
  <sortState xmlns:xlrd2="http://schemas.microsoft.com/office/spreadsheetml/2017/richdata2" ref="A3:AI64">
    <sortCondition ref="A3:A64"/>
  </sortState>
  <hyperlinks>
    <hyperlink ref="A1" location="Index!A1" display="Back to Index" xr:uid="{00000000-0004-0000-01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4" style="6" customWidth="1"/>
    <col min="2" max="16" width="30.7109375" style="7" customWidth="1"/>
    <col min="17" max="17" width="90.7109375" style="7" customWidth="1"/>
    <col min="18" max="18" width="60.7109375" style="7" customWidth="1"/>
    <col min="19" max="61" width="30.7109375" style="7" customWidth="1"/>
    <col min="62" max="16384" width="15.7109375" style="6"/>
  </cols>
  <sheetData>
    <row r="1" spans="1:61" s="9" customFormat="1" x14ac:dyDescent="0.2">
      <c r="A1" s="12" t="s">
        <v>1984</v>
      </c>
      <c r="B1" s="8" t="s">
        <v>271</v>
      </c>
      <c r="C1" s="8" t="s">
        <v>272</v>
      </c>
      <c r="D1" s="8" t="s">
        <v>273</v>
      </c>
      <c r="E1" s="8" t="s">
        <v>274</v>
      </c>
      <c r="F1" s="8" t="s">
        <v>275</v>
      </c>
      <c r="G1" s="8" t="s">
        <v>276</v>
      </c>
      <c r="H1" s="8" t="s">
        <v>277</v>
      </c>
      <c r="I1" s="8" t="s">
        <v>278</v>
      </c>
      <c r="J1" s="8" t="s">
        <v>279</v>
      </c>
      <c r="K1" s="8" t="s">
        <v>280</v>
      </c>
      <c r="L1" s="8" t="s">
        <v>281</v>
      </c>
      <c r="M1" s="8" t="s">
        <v>282</v>
      </c>
      <c r="N1" s="8" t="s">
        <v>283</v>
      </c>
      <c r="O1" s="8" t="s">
        <v>284</v>
      </c>
      <c r="P1" s="8" t="s">
        <v>285</v>
      </c>
      <c r="Q1" s="8" t="s">
        <v>286</v>
      </c>
      <c r="R1" s="8" t="s">
        <v>287</v>
      </c>
      <c r="S1" s="8" t="s">
        <v>288</v>
      </c>
      <c r="T1" s="8" t="s">
        <v>289</v>
      </c>
      <c r="U1" s="8" t="s">
        <v>290</v>
      </c>
      <c r="V1" s="8" t="s">
        <v>291</v>
      </c>
      <c r="W1" s="8" t="s">
        <v>292</v>
      </c>
      <c r="X1" s="8" t="s">
        <v>293</v>
      </c>
      <c r="Y1" s="8" t="s">
        <v>294</v>
      </c>
      <c r="Z1" s="8" t="s">
        <v>295</v>
      </c>
      <c r="AA1" s="8" t="s">
        <v>296</v>
      </c>
      <c r="AB1" s="8" t="s">
        <v>297</v>
      </c>
      <c r="AC1" s="8" t="s">
        <v>298</v>
      </c>
      <c r="AD1" s="8" t="s">
        <v>299</v>
      </c>
      <c r="AE1" s="8" t="s">
        <v>300</v>
      </c>
      <c r="AF1" s="8" t="s">
        <v>301</v>
      </c>
      <c r="AG1" s="8" t="s">
        <v>302</v>
      </c>
      <c r="AH1" s="8" t="s">
        <v>303</v>
      </c>
      <c r="AI1" s="8" t="s">
        <v>304</v>
      </c>
      <c r="AJ1" s="8" t="s">
        <v>305</v>
      </c>
      <c r="AK1" s="8" t="s">
        <v>306</v>
      </c>
      <c r="AL1" s="8" t="s">
        <v>307</v>
      </c>
      <c r="AM1" s="8" t="s">
        <v>308</v>
      </c>
      <c r="AN1" s="8" t="s">
        <v>309</v>
      </c>
      <c r="AO1" s="8" t="s">
        <v>310</v>
      </c>
      <c r="AP1" s="8" t="s">
        <v>311</v>
      </c>
      <c r="AQ1" s="8" t="s">
        <v>312</v>
      </c>
      <c r="AR1" s="8" t="s">
        <v>313</v>
      </c>
      <c r="AS1" s="8" t="s">
        <v>314</v>
      </c>
      <c r="AT1" s="8" t="s">
        <v>315</v>
      </c>
      <c r="AU1" s="8" t="s">
        <v>316</v>
      </c>
      <c r="AV1" s="8" t="s">
        <v>317</v>
      </c>
      <c r="AW1" s="8" t="s">
        <v>318</v>
      </c>
      <c r="AX1" s="8" t="s">
        <v>319</v>
      </c>
      <c r="AY1" s="8" t="s">
        <v>320</v>
      </c>
      <c r="AZ1" s="8" t="s">
        <v>321</v>
      </c>
      <c r="BA1" s="8" t="s">
        <v>322</v>
      </c>
      <c r="BB1" s="8" t="s">
        <v>323</v>
      </c>
      <c r="BC1" s="8" t="s">
        <v>324</v>
      </c>
      <c r="BD1" s="8" t="s">
        <v>325</v>
      </c>
      <c r="BE1" s="8" t="s">
        <v>326</v>
      </c>
      <c r="BF1" s="8" t="s">
        <v>327</v>
      </c>
      <c r="BG1" s="8" t="s">
        <v>328</v>
      </c>
      <c r="BH1" s="8" t="s">
        <v>329</v>
      </c>
      <c r="BI1" s="8" t="s">
        <v>330</v>
      </c>
    </row>
    <row r="2" spans="1:61" s="9" customFormat="1" ht="51" x14ac:dyDescent="0.2">
      <c r="A2" s="9" t="s">
        <v>2713</v>
      </c>
      <c r="B2" s="17" t="s">
        <v>1985</v>
      </c>
      <c r="C2" s="8" t="s">
        <v>1986</v>
      </c>
      <c r="D2" s="8" t="s">
        <v>1987</v>
      </c>
      <c r="E2" s="8" t="s">
        <v>1988</v>
      </c>
      <c r="F2" s="8" t="s">
        <v>1989</v>
      </c>
      <c r="G2" s="8" t="s">
        <v>1990</v>
      </c>
      <c r="H2" s="8" t="s">
        <v>1991</v>
      </c>
      <c r="I2" s="8" t="s">
        <v>1992</v>
      </c>
      <c r="J2" s="17" t="s">
        <v>1993</v>
      </c>
      <c r="K2" s="17" t="s">
        <v>1994</v>
      </c>
      <c r="L2" s="17" t="s">
        <v>1995</v>
      </c>
      <c r="M2" s="17" t="s">
        <v>1996</v>
      </c>
      <c r="N2" s="17" t="s">
        <v>1997</v>
      </c>
      <c r="O2" s="17" t="s">
        <v>1998</v>
      </c>
      <c r="P2" s="8" t="s">
        <v>1999</v>
      </c>
      <c r="Q2" s="8" t="s">
        <v>2000</v>
      </c>
      <c r="R2" s="17" t="s">
        <v>2714</v>
      </c>
      <c r="S2" s="17" t="s">
        <v>2001</v>
      </c>
      <c r="T2" s="8" t="s">
        <v>2002</v>
      </c>
      <c r="U2" s="8" t="s">
        <v>2003</v>
      </c>
      <c r="V2" s="18" t="s">
        <v>2004</v>
      </c>
      <c r="W2" s="18" t="s">
        <v>2005</v>
      </c>
      <c r="X2" s="17" t="s">
        <v>2006</v>
      </c>
      <c r="Y2" s="17" t="s">
        <v>2007</v>
      </c>
      <c r="Z2" s="17" t="s">
        <v>2008</v>
      </c>
      <c r="AA2" s="17" t="s">
        <v>2009</v>
      </c>
      <c r="AB2" s="17" t="s">
        <v>2010</v>
      </c>
      <c r="AC2" s="17" t="s">
        <v>2011</v>
      </c>
      <c r="AD2" s="8" t="s">
        <v>2012</v>
      </c>
      <c r="AE2" s="8" t="s">
        <v>2715</v>
      </c>
      <c r="AF2" s="8" t="s">
        <v>2013</v>
      </c>
      <c r="AG2" s="8" t="s">
        <v>2014</v>
      </c>
      <c r="AH2" s="8" t="s">
        <v>2015</v>
      </c>
      <c r="AI2" s="8" t="s">
        <v>2016</v>
      </c>
      <c r="AJ2" s="8" t="s">
        <v>2017</v>
      </c>
      <c r="AK2" s="8" t="s">
        <v>2018</v>
      </c>
      <c r="AL2" s="17" t="s">
        <v>2019</v>
      </c>
      <c r="AM2" s="17" t="s">
        <v>2020</v>
      </c>
      <c r="AN2" s="8" t="s">
        <v>2021</v>
      </c>
      <c r="AO2" s="8" t="s">
        <v>2022</v>
      </c>
      <c r="AP2" s="17" t="s">
        <v>2023</v>
      </c>
      <c r="AQ2" s="17" t="s">
        <v>2024</v>
      </c>
      <c r="AR2" s="17" t="s">
        <v>2025</v>
      </c>
      <c r="AS2" s="17" t="s">
        <v>2026</v>
      </c>
      <c r="AT2" s="17" t="s">
        <v>2027</v>
      </c>
      <c r="AU2" s="17" t="s">
        <v>2028</v>
      </c>
      <c r="AV2" s="8" t="s">
        <v>2029</v>
      </c>
      <c r="AW2" s="8" t="s">
        <v>2030</v>
      </c>
      <c r="AX2" s="8" t="s">
        <v>2031</v>
      </c>
      <c r="AY2" s="8" t="s">
        <v>2032</v>
      </c>
      <c r="AZ2" s="8" t="s">
        <v>2033</v>
      </c>
      <c r="BA2" s="8" t="s">
        <v>2034</v>
      </c>
      <c r="BB2" s="17" t="s">
        <v>2035</v>
      </c>
      <c r="BC2" s="17" t="s">
        <v>2036</v>
      </c>
      <c r="BD2" s="8" t="s">
        <v>2037</v>
      </c>
      <c r="BE2" s="8" t="s">
        <v>2038</v>
      </c>
      <c r="BF2" s="17" t="s">
        <v>2039</v>
      </c>
      <c r="BG2" s="17" t="s">
        <v>2040</v>
      </c>
      <c r="BH2" s="17" t="s">
        <v>2041</v>
      </c>
      <c r="BI2" s="17" t="s">
        <v>2042</v>
      </c>
    </row>
    <row r="3" spans="1:61" ht="76.5" x14ac:dyDescent="0.2">
      <c r="A3" s="6" t="s">
        <v>69</v>
      </c>
      <c r="B3" s="7" t="s">
        <v>251</v>
      </c>
      <c r="C3" s="7" t="s">
        <v>331</v>
      </c>
      <c r="D3" s="7" t="s">
        <v>2777</v>
      </c>
      <c r="F3" s="7" t="s">
        <v>332</v>
      </c>
      <c r="H3" s="7" t="s">
        <v>333</v>
      </c>
      <c r="J3" s="7" t="s">
        <v>334</v>
      </c>
      <c r="M3" s="7" t="s">
        <v>334</v>
      </c>
      <c r="P3" s="7" t="s">
        <v>334</v>
      </c>
      <c r="R3" s="7" t="s">
        <v>2831</v>
      </c>
      <c r="S3" s="7" t="s">
        <v>433</v>
      </c>
      <c r="T3" s="7" t="s">
        <v>251</v>
      </c>
      <c r="U3" s="14"/>
      <c r="V3" s="7" t="s">
        <v>334</v>
      </c>
      <c r="W3" s="14"/>
      <c r="X3" s="7" t="s">
        <v>334</v>
      </c>
      <c r="Y3" s="13"/>
      <c r="Z3" s="7" t="s">
        <v>251</v>
      </c>
      <c r="AA3" s="14">
        <v>500</v>
      </c>
      <c r="AB3" s="7" t="s">
        <v>334</v>
      </c>
      <c r="AD3" s="7" t="s">
        <v>2838</v>
      </c>
      <c r="AE3" s="13"/>
      <c r="AF3" s="14"/>
      <c r="AG3" s="7" t="s">
        <v>251</v>
      </c>
      <c r="AH3" s="14">
        <v>7</v>
      </c>
      <c r="AI3" s="7" t="s">
        <v>334</v>
      </c>
      <c r="AJ3" s="7" t="s">
        <v>334</v>
      </c>
      <c r="AL3" s="7" t="s">
        <v>334</v>
      </c>
      <c r="AN3" s="7" t="s">
        <v>251</v>
      </c>
      <c r="AP3" s="7" t="s">
        <v>336</v>
      </c>
      <c r="AR3" s="14"/>
      <c r="AV3" s="7" t="s">
        <v>336</v>
      </c>
      <c r="AW3" s="7" t="s">
        <v>336</v>
      </c>
      <c r="AX3" s="7" t="s">
        <v>336</v>
      </c>
      <c r="BB3" s="7" t="s">
        <v>337</v>
      </c>
      <c r="BD3" s="7" t="s">
        <v>338</v>
      </c>
      <c r="BF3" s="7" t="s">
        <v>334</v>
      </c>
      <c r="BH3" s="14"/>
    </row>
    <row r="4" spans="1:61" ht="76.5" x14ac:dyDescent="0.2">
      <c r="A4" s="6" t="s">
        <v>45</v>
      </c>
      <c r="B4" s="7" t="s">
        <v>251</v>
      </c>
      <c r="C4" s="7" t="s">
        <v>331</v>
      </c>
      <c r="D4" s="7" t="s">
        <v>2777</v>
      </c>
      <c r="F4" s="7" t="s">
        <v>332</v>
      </c>
      <c r="H4" s="7" t="s">
        <v>333</v>
      </c>
      <c r="J4" s="7" t="s">
        <v>334</v>
      </c>
      <c r="M4" s="7" t="s">
        <v>334</v>
      </c>
      <c r="P4" s="7" t="s">
        <v>334</v>
      </c>
      <c r="R4" s="7" t="s">
        <v>2809</v>
      </c>
      <c r="S4" s="7" t="s">
        <v>407</v>
      </c>
      <c r="T4" s="7" t="s">
        <v>251</v>
      </c>
      <c r="U4" s="14"/>
      <c r="V4" s="7" t="s">
        <v>334</v>
      </c>
      <c r="W4" s="14"/>
      <c r="X4" s="7" t="s">
        <v>334</v>
      </c>
      <c r="Y4" s="13"/>
      <c r="Z4" s="7" t="s">
        <v>251</v>
      </c>
      <c r="AA4" s="14">
        <v>500</v>
      </c>
      <c r="AB4" s="7" t="s">
        <v>334</v>
      </c>
      <c r="AD4" s="7" t="s">
        <v>2849</v>
      </c>
      <c r="AE4" s="13"/>
      <c r="AF4" s="14"/>
      <c r="AG4" s="7" t="s">
        <v>334</v>
      </c>
      <c r="AH4" s="14"/>
      <c r="AI4" s="7" t="s">
        <v>251</v>
      </c>
      <c r="AJ4" s="7" t="s">
        <v>251</v>
      </c>
      <c r="AL4" s="7" t="s">
        <v>251</v>
      </c>
      <c r="AM4" s="7" t="s">
        <v>408</v>
      </c>
      <c r="AN4" s="7" t="s">
        <v>251</v>
      </c>
      <c r="AP4" s="7" t="s">
        <v>336</v>
      </c>
      <c r="AR4" s="14"/>
      <c r="AS4" s="13"/>
      <c r="AV4" s="7" t="s">
        <v>336</v>
      </c>
      <c r="AW4" s="7" t="s">
        <v>336</v>
      </c>
      <c r="AX4" s="7" t="s">
        <v>336</v>
      </c>
      <c r="BB4" s="7" t="s">
        <v>343</v>
      </c>
      <c r="BD4" s="7" t="s">
        <v>338</v>
      </c>
      <c r="BF4" s="7" t="s">
        <v>251</v>
      </c>
      <c r="BG4" s="7" t="s">
        <v>251</v>
      </c>
      <c r="BH4" s="14">
        <v>250</v>
      </c>
    </row>
    <row r="5" spans="1:61" ht="63.75" x14ac:dyDescent="0.2">
      <c r="A5" s="6" t="s">
        <v>18</v>
      </c>
      <c r="B5" s="7" t="s">
        <v>251</v>
      </c>
      <c r="C5" s="7" t="s">
        <v>331</v>
      </c>
      <c r="D5" s="7" t="s">
        <v>2778</v>
      </c>
      <c r="F5" s="7" t="s">
        <v>332</v>
      </c>
      <c r="H5" s="7" t="s">
        <v>333</v>
      </c>
      <c r="J5" s="7" t="s">
        <v>334</v>
      </c>
      <c r="M5" s="7" t="s">
        <v>334</v>
      </c>
      <c r="P5" s="7" t="s">
        <v>334</v>
      </c>
      <c r="R5" s="7" t="s">
        <v>2786</v>
      </c>
      <c r="T5" s="7" t="s">
        <v>251</v>
      </c>
      <c r="U5" s="14">
        <v>0</v>
      </c>
      <c r="V5" s="7" t="s">
        <v>334</v>
      </c>
      <c r="W5" s="14"/>
      <c r="X5" s="7" t="s">
        <v>334</v>
      </c>
      <c r="Y5" s="13"/>
      <c r="Z5" s="7" t="s">
        <v>251</v>
      </c>
      <c r="AA5" s="14">
        <v>1200</v>
      </c>
      <c r="AB5" s="7" t="s">
        <v>334</v>
      </c>
      <c r="AD5" s="7" t="s">
        <v>356</v>
      </c>
      <c r="AE5" s="13"/>
      <c r="AF5" s="14"/>
      <c r="AG5" s="7" t="s">
        <v>334</v>
      </c>
      <c r="AH5" s="14"/>
      <c r="AI5" s="7" t="s">
        <v>251</v>
      </c>
      <c r="AJ5" s="7" t="s">
        <v>334</v>
      </c>
      <c r="AL5" s="7" t="s">
        <v>251</v>
      </c>
      <c r="AM5" s="7" t="s">
        <v>357</v>
      </c>
      <c r="AN5" s="7" t="s">
        <v>251</v>
      </c>
      <c r="AP5" s="7" t="s">
        <v>336</v>
      </c>
      <c r="AR5" s="14"/>
      <c r="AS5" s="13"/>
      <c r="AV5" s="7" t="s">
        <v>336</v>
      </c>
      <c r="AX5" s="7" t="s">
        <v>336</v>
      </c>
      <c r="BB5" s="7" t="s">
        <v>337</v>
      </c>
      <c r="BD5" s="7" t="s">
        <v>350</v>
      </c>
      <c r="BF5" s="7" t="s">
        <v>334</v>
      </c>
      <c r="BH5" s="14"/>
    </row>
    <row r="6" spans="1:61" ht="76.5" x14ac:dyDescent="0.2">
      <c r="A6" s="6" t="s">
        <v>30</v>
      </c>
      <c r="B6" s="7" t="s">
        <v>251</v>
      </c>
      <c r="C6" s="7" t="s">
        <v>331</v>
      </c>
      <c r="D6" s="7" t="s">
        <v>2777</v>
      </c>
      <c r="F6" s="7" t="s">
        <v>332</v>
      </c>
      <c r="H6" s="7" t="s">
        <v>333</v>
      </c>
      <c r="J6" s="7" t="s">
        <v>334</v>
      </c>
      <c r="M6" s="7" t="s">
        <v>334</v>
      </c>
      <c r="P6" s="7" t="s">
        <v>334</v>
      </c>
      <c r="R6" s="7" t="s">
        <v>2795</v>
      </c>
      <c r="T6" s="7" t="s">
        <v>334</v>
      </c>
      <c r="U6" s="14"/>
      <c r="V6" s="7" t="s">
        <v>334</v>
      </c>
      <c r="W6" s="14"/>
      <c r="X6" s="7" t="s">
        <v>334</v>
      </c>
      <c r="Y6" s="13"/>
      <c r="Z6" s="7" t="s">
        <v>251</v>
      </c>
      <c r="AA6" s="14">
        <v>500</v>
      </c>
      <c r="AB6" s="7" t="s">
        <v>334</v>
      </c>
      <c r="AD6" s="7" t="s">
        <v>376</v>
      </c>
      <c r="AE6" s="13"/>
      <c r="AF6" s="14"/>
      <c r="AG6" s="7" t="s">
        <v>334</v>
      </c>
      <c r="AH6" s="14"/>
      <c r="AI6" s="7" t="s">
        <v>334</v>
      </c>
      <c r="AJ6" s="7" t="s">
        <v>334</v>
      </c>
      <c r="AL6" s="7" t="s">
        <v>251</v>
      </c>
      <c r="AM6" s="7" t="s">
        <v>377</v>
      </c>
      <c r="AN6" s="7" t="s">
        <v>251</v>
      </c>
      <c r="AP6" s="7" t="s">
        <v>336</v>
      </c>
      <c r="AR6" s="14"/>
      <c r="AS6" s="13"/>
      <c r="AV6" s="7" t="s">
        <v>336</v>
      </c>
      <c r="AW6" s="7" t="s">
        <v>336</v>
      </c>
      <c r="AX6" s="7" t="s">
        <v>336</v>
      </c>
      <c r="BB6" s="7" t="s">
        <v>337</v>
      </c>
      <c r="BD6" s="7" t="s">
        <v>344</v>
      </c>
      <c r="BF6" s="7" t="s">
        <v>334</v>
      </c>
      <c r="BH6" s="14"/>
    </row>
    <row r="7" spans="1:61" ht="25.5" x14ac:dyDescent="0.2">
      <c r="A7" s="6" t="s">
        <v>66</v>
      </c>
      <c r="B7" s="7" t="s">
        <v>251</v>
      </c>
      <c r="C7" s="7" t="s">
        <v>331</v>
      </c>
      <c r="D7" s="7" t="s">
        <v>2777</v>
      </c>
      <c r="F7" s="7" t="s">
        <v>130</v>
      </c>
      <c r="G7" s="7">
        <v>26</v>
      </c>
      <c r="H7" s="7" t="s">
        <v>130</v>
      </c>
      <c r="I7" s="7">
        <v>26</v>
      </c>
      <c r="J7" s="7" t="s">
        <v>334</v>
      </c>
      <c r="M7" s="7" t="s">
        <v>334</v>
      </c>
      <c r="P7" s="7" t="s">
        <v>334</v>
      </c>
      <c r="R7" s="7" t="s">
        <v>2828</v>
      </c>
      <c r="T7" s="7" t="s">
        <v>334</v>
      </c>
      <c r="U7" s="14"/>
      <c r="V7" s="7" t="s">
        <v>334</v>
      </c>
      <c r="W7" s="14"/>
      <c r="X7" s="7" t="s">
        <v>251</v>
      </c>
      <c r="Y7" s="13">
        <v>10</v>
      </c>
      <c r="Z7" s="7" t="s">
        <v>334</v>
      </c>
      <c r="AA7" s="14"/>
      <c r="AB7" s="7" t="s">
        <v>334</v>
      </c>
      <c r="AE7" s="13"/>
      <c r="AF7" s="14"/>
      <c r="AH7" s="14"/>
      <c r="AL7" s="7" t="s">
        <v>334</v>
      </c>
      <c r="AN7" s="7" t="s">
        <v>251</v>
      </c>
      <c r="AP7" s="7" t="s">
        <v>336</v>
      </c>
      <c r="AR7" s="14"/>
      <c r="AV7" s="7" t="s">
        <v>336</v>
      </c>
      <c r="AW7" s="7" t="s">
        <v>336</v>
      </c>
      <c r="AX7" s="7" t="s">
        <v>336</v>
      </c>
      <c r="BB7" s="7" t="s">
        <v>337</v>
      </c>
      <c r="BD7" s="7" t="s">
        <v>338</v>
      </c>
      <c r="BF7" s="7" t="s">
        <v>334</v>
      </c>
      <c r="BH7" s="14"/>
    </row>
    <row r="8" spans="1:61" ht="63.75" x14ac:dyDescent="0.2">
      <c r="A8" s="6" t="s">
        <v>34</v>
      </c>
      <c r="B8" s="7" t="s">
        <v>251</v>
      </c>
      <c r="C8" s="7" t="s">
        <v>331</v>
      </c>
      <c r="D8" s="7" t="s">
        <v>2777</v>
      </c>
      <c r="F8" s="7" t="s">
        <v>332</v>
      </c>
      <c r="H8" s="7" t="s">
        <v>333</v>
      </c>
      <c r="J8" s="7" t="s">
        <v>334</v>
      </c>
      <c r="M8" s="7" t="s">
        <v>334</v>
      </c>
      <c r="P8" s="7" t="s">
        <v>334</v>
      </c>
      <c r="R8" s="7" t="s">
        <v>2799</v>
      </c>
      <c r="T8" s="7" t="s">
        <v>251</v>
      </c>
      <c r="U8" s="14">
        <v>0</v>
      </c>
      <c r="V8" s="7" t="s">
        <v>334</v>
      </c>
      <c r="W8" s="14"/>
      <c r="X8" s="7" t="s">
        <v>334</v>
      </c>
      <c r="Y8" s="13"/>
      <c r="Z8" s="7" t="s">
        <v>251</v>
      </c>
      <c r="AA8" s="14">
        <v>500</v>
      </c>
      <c r="AB8" s="7" t="s">
        <v>334</v>
      </c>
      <c r="AD8" s="7" t="s">
        <v>2838</v>
      </c>
      <c r="AE8" s="13"/>
      <c r="AF8" s="14"/>
      <c r="AG8" s="7" t="s">
        <v>334</v>
      </c>
      <c r="AH8" s="14"/>
      <c r="AI8" s="7" t="s">
        <v>334</v>
      </c>
      <c r="AJ8" s="7" t="s">
        <v>251</v>
      </c>
      <c r="AL8" s="7" t="s">
        <v>251</v>
      </c>
      <c r="AM8" s="7" t="s">
        <v>389</v>
      </c>
      <c r="AN8" s="7" t="s">
        <v>251</v>
      </c>
      <c r="AP8" s="7" t="s">
        <v>336</v>
      </c>
      <c r="AR8" s="14"/>
      <c r="AS8" s="13"/>
      <c r="AV8" s="7" t="s">
        <v>336</v>
      </c>
      <c r="AW8" s="7" t="s">
        <v>336</v>
      </c>
      <c r="AX8" s="7" t="s">
        <v>336</v>
      </c>
      <c r="BB8" s="7" t="s">
        <v>337</v>
      </c>
      <c r="BD8" s="7" t="s">
        <v>344</v>
      </c>
      <c r="BF8" s="7" t="s">
        <v>334</v>
      </c>
      <c r="BH8" s="14"/>
    </row>
    <row r="9" spans="1:61" ht="76.5" x14ac:dyDescent="0.2">
      <c r="A9" s="6" t="s">
        <v>31</v>
      </c>
      <c r="B9" s="7" t="s">
        <v>251</v>
      </c>
      <c r="C9" s="7" t="s">
        <v>331</v>
      </c>
      <c r="D9" s="7" t="s">
        <v>2777</v>
      </c>
      <c r="F9" s="7" t="s">
        <v>362</v>
      </c>
      <c r="H9" s="7" t="s">
        <v>333</v>
      </c>
      <c r="J9" s="7" t="s">
        <v>334</v>
      </c>
      <c r="M9" s="7" t="s">
        <v>334</v>
      </c>
      <c r="P9" s="7" t="s">
        <v>251</v>
      </c>
      <c r="Q9" s="7" t="s">
        <v>378</v>
      </c>
      <c r="R9" s="7" t="s">
        <v>2796</v>
      </c>
      <c r="S9" s="7" t="s">
        <v>112</v>
      </c>
      <c r="T9" s="7" t="s">
        <v>334</v>
      </c>
      <c r="U9" s="14"/>
      <c r="V9" s="7" t="s">
        <v>334</v>
      </c>
      <c r="W9" s="14"/>
      <c r="X9" s="7" t="s">
        <v>251</v>
      </c>
      <c r="Y9" s="13">
        <v>20</v>
      </c>
      <c r="Z9" s="7" t="s">
        <v>251</v>
      </c>
      <c r="AA9" s="14">
        <v>400</v>
      </c>
      <c r="AB9" s="7" t="s">
        <v>334</v>
      </c>
      <c r="AD9" s="7" t="s">
        <v>2840</v>
      </c>
      <c r="AE9" s="13">
        <v>20</v>
      </c>
      <c r="AF9" s="14"/>
      <c r="AG9" s="7" t="s">
        <v>251</v>
      </c>
      <c r="AH9" s="14">
        <v>8</v>
      </c>
      <c r="AI9" s="7" t="s">
        <v>251</v>
      </c>
      <c r="AJ9" s="7" t="s">
        <v>251</v>
      </c>
      <c r="AL9" s="7" t="s">
        <v>251</v>
      </c>
      <c r="AM9" s="7" t="s">
        <v>379</v>
      </c>
      <c r="AN9" s="7" t="s">
        <v>251</v>
      </c>
      <c r="AP9" s="7" t="s">
        <v>340</v>
      </c>
      <c r="AQ9" s="7" t="s">
        <v>380</v>
      </c>
      <c r="AR9" s="14"/>
      <c r="AS9" s="13"/>
      <c r="AU9" s="7" t="s">
        <v>381</v>
      </c>
      <c r="AV9" s="7" t="s">
        <v>340</v>
      </c>
      <c r="AW9" s="7" t="s">
        <v>340</v>
      </c>
      <c r="AX9" s="7" t="s">
        <v>340</v>
      </c>
      <c r="BA9" s="7" t="s">
        <v>382</v>
      </c>
      <c r="BB9" s="7" t="s">
        <v>343</v>
      </c>
      <c r="BD9" s="7" t="s">
        <v>350</v>
      </c>
      <c r="BF9" s="7" t="s">
        <v>251</v>
      </c>
      <c r="BG9" s="7" t="s">
        <v>334</v>
      </c>
      <c r="BH9" s="14"/>
      <c r="BI9" s="7" t="s">
        <v>383</v>
      </c>
    </row>
    <row r="10" spans="1:61" ht="76.5" x14ac:dyDescent="0.2">
      <c r="A10" s="6" t="s">
        <v>46</v>
      </c>
      <c r="B10" s="7" t="s">
        <v>251</v>
      </c>
      <c r="C10" s="7" t="s">
        <v>331</v>
      </c>
      <c r="D10" s="7" t="s">
        <v>2777</v>
      </c>
      <c r="F10" s="7" t="s">
        <v>332</v>
      </c>
      <c r="H10" s="7" t="s">
        <v>333</v>
      </c>
      <c r="J10" s="7" t="s">
        <v>334</v>
      </c>
      <c r="M10" s="7" t="s">
        <v>334</v>
      </c>
      <c r="P10" s="7" t="s">
        <v>334</v>
      </c>
      <c r="R10" s="7" t="s">
        <v>2810</v>
      </c>
      <c r="T10" s="7" t="s">
        <v>334</v>
      </c>
      <c r="U10" s="14"/>
      <c r="V10" s="7" t="s">
        <v>334</v>
      </c>
      <c r="W10" s="14"/>
      <c r="X10" s="7" t="s">
        <v>334</v>
      </c>
      <c r="Y10" s="13"/>
      <c r="Z10" s="7" t="s">
        <v>251</v>
      </c>
      <c r="AA10" s="14">
        <v>1500</v>
      </c>
      <c r="AB10" s="7" t="s">
        <v>334</v>
      </c>
      <c r="AD10" s="7" t="s">
        <v>2839</v>
      </c>
      <c r="AE10" s="13">
        <v>10</v>
      </c>
      <c r="AF10" s="14"/>
      <c r="AG10" s="7" t="s">
        <v>334</v>
      </c>
      <c r="AH10" s="14"/>
      <c r="AI10" s="7" t="s">
        <v>251</v>
      </c>
      <c r="AJ10" s="7" t="s">
        <v>251</v>
      </c>
      <c r="AL10" s="7" t="s">
        <v>251</v>
      </c>
      <c r="AM10" s="7" t="s">
        <v>359</v>
      </c>
      <c r="AN10" s="7" t="s">
        <v>251</v>
      </c>
      <c r="AP10" s="7" t="s">
        <v>336</v>
      </c>
      <c r="AR10" s="14"/>
      <c r="AS10" s="13"/>
      <c r="AV10" s="7" t="s">
        <v>336</v>
      </c>
      <c r="AW10" s="7" t="s">
        <v>336</v>
      </c>
      <c r="AX10" s="7" t="s">
        <v>336</v>
      </c>
      <c r="BB10" s="7" t="s">
        <v>337</v>
      </c>
      <c r="BD10" s="7" t="s">
        <v>338</v>
      </c>
      <c r="BF10" s="7" t="s">
        <v>334</v>
      </c>
      <c r="BH10" s="14"/>
    </row>
    <row r="11" spans="1:61" ht="89.25" x14ac:dyDescent="0.2">
      <c r="A11" s="6" t="s">
        <v>42</v>
      </c>
      <c r="B11" s="7" t="s">
        <v>251</v>
      </c>
      <c r="C11" s="7" t="s">
        <v>331</v>
      </c>
      <c r="D11" s="7" t="s">
        <v>2777</v>
      </c>
      <c r="F11" s="7" t="s">
        <v>332</v>
      </c>
      <c r="H11" s="7" t="s">
        <v>333</v>
      </c>
      <c r="J11" s="7" t="s">
        <v>334</v>
      </c>
      <c r="M11" s="7" t="s">
        <v>334</v>
      </c>
      <c r="P11" s="7" t="s">
        <v>334</v>
      </c>
      <c r="R11" s="7" t="s">
        <v>2806</v>
      </c>
      <c r="T11" s="7" t="s">
        <v>251</v>
      </c>
      <c r="U11" s="14">
        <v>100</v>
      </c>
      <c r="V11" s="7" t="s">
        <v>251</v>
      </c>
      <c r="W11" s="14">
        <v>25</v>
      </c>
      <c r="X11" s="7" t="s">
        <v>251</v>
      </c>
      <c r="Y11" s="13">
        <v>20</v>
      </c>
      <c r="Z11" s="7" t="s">
        <v>251</v>
      </c>
      <c r="AA11" s="14">
        <v>500</v>
      </c>
      <c r="AB11" s="7" t="s">
        <v>334</v>
      </c>
      <c r="AD11" s="7" t="s">
        <v>2847</v>
      </c>
      <c r="AE11" s="13"/>
      <c r="AF11" s="14"/>
      <c r="AG11" s="7" t="s">
        <v>334</v>
      </c>
      <c r="AH11" s="14"/>
      <c r="AI11" s="7" t="s">
        <v>334</v>
      </c>
      <c r="AJ11" s="7" t="s">
        <v>334</v>
      </c>
      <c r="AL11" s="7" t="s">
        <v>251</v>
      </c>
      <c r="AM11" s="7" t="s">
        <v>359</v>
      </c>
      <c r="AN11" s="7" t="s">
        <v>251</v>
      </c>
      <c r="AP11" s="7" t="s">
        <v>336</v>
      </c>
      <c r="AR11" s="14"/>
      <c r="AS11" s="13"/>
      <c r="AV11" s="7" t="s">
        <v>336</v>
      </c>
      <c r="AW11" s="7" t="s">
        <v>336</v>
      </c>
      <c r="AX11" s="7" t="s">
        <v>336</v>
      </c>
      <c r="BB11" s="7" t="s">
        <v>337</v>
      </c>
      <c r="BD11" s="7" t="s">
        <v>338</v>
      </c>
      <c r="BF11" s="7" t="s">
        <v>334</v>
      </c>
      <c r="BH11" s="14"/>
    </row>
    <row r="12" spans="1:61" ht="242.25" x14ac:dyDescent="0.2">
      <c r="A12" s="6" t="s">
        <v>33</v>
      </c>
      <c r="B12" s="7" t="s">
        <v>251</v>
      </c>
      <c r="C12" s="7" t="s">
        <v>331</v>
      </c>
      <c r="D12" s="7" t="s">
        <v>2777</v>
      </c>
      <c r="F12" s="7" t="s">
        <v>332</v>
      </c>
      <c r="H12" s="7" t="s">
        <v>333</v>
      </c>
      <c r="J12" s="7" t="s">
        <v>334</v>
      </c>
      <c r="M12" s="7" t="s">
        <v>334</v>
      </c>
      <c r="P12" s="7" t="s">
        <v>251</v>
      </c>
      <c r="Q12" s="7" t="s">
        <v>387</v>
      </c>
      <c r="R12" s="7" t="s">
        <v>2798</v>
      </c>
      <c r="T12" s="7" t="s">
        <v>251</v>
      </c>
      <c r="U12" s="14">
        <v>200</v>
      </c>
      <c r="V12" s="7" t="s">
        <v>334</v>
      </c>
      <c r="W12" s="14"/>
      <c r="X12" s="7" t="s">
        <v>251</v>
      </c>
      <c r="Y12" s="13">
        <v>20</v>
      </c>
      <c r="Z12" s="7" t="s">
        <v>251</v>
      </c>
      <c r="AA12" s="14"/>
      <c r="AB12" s="7" t="s">
        <v>334</v>
      </c>
      <c r="AD12" s="7" t="s">
        <v>2845</v>
      </c>
      <c r="AE12" s="13">
        <v>20</v>
      </c>
      <c r="AF12" s="14"/>
      <c r="AG12" s="7" t="s">
        <v>251</v>
      </c>
      <c r="AH12" s="14">
        <v>8</v>
      </c>
      <c r="AI12" s="7" t="s">
        <v>251</v>
      </c>
      <c r="AJ12" s="7" t="s">
        <v>251</v>
      </c>
      <c r="AL12" s="7" t="s">
        <v>251</v>
      </c>
      <c r="AM12" s="7" t="s">
        <v>388</v>
      </c>
      <c r="AN12" s="7" t="s">
        <v>251</v>
      </c>
      <c r="AP12" s="7" t="s">
        <v>340</v>
      </c>
      <c r="AQ12" s="7" t="s">
        <v>341</v>
      </c>
      <c r="AR12" s="14"/>
      <c r="AS12" s="13"/>
      <c r="AV12" s="7" t="s">
        <v>340</v>
      </c>
      <c r="AW12" s="7" t="s">
        <v>340</v>
      </c>
      <c r="AX12" s="7" t="s">
        <v>340</v>
      </c>
      <c r="BB12" s="7" t="s">
        <v>343</v>
      </c>
      <c r="BD12" s="7" t="s">
        <v>350</v>
      </c>
      <c r="BF12" s="7" t="s">
        <v>251</v>
      </c>
      <c r="BG12" s="7" t="s">
        <v>334</v>
      </c>
      <c r="BH12" s="14"/>
    </row>
    <row r="13" spans="1:61" ht="76.5" x14ac:dyDescent="0.2">
      <c r="A13" s="6" t="s">
        <v>55</v>
      </c>
      <c r="B13" s="7" t="s">
        <v>251</v>
      </c>
      <c r="C13" s="7" t="s">
        <v>331</v>
      </c>
      <c r="D13" s="7" t="s">
        <v>2777</v>
      </c>
      <c r="F13" s="7" t="s">
        <v>332</v>
      </c>
      <c r="H13" s="7" t="s">
        <v>368</v>
      </c>
      <c r="J13" s="7" t="s">
        <v>334</v>
      </c>
      <c r="M13" s="7" t="s">
        <v>334</v>
      </c>
      <c r="P13" s="7" t="s">
        <v>334</v>
      </c>
      <c r="R13" s="7" t="s">
        <v>2817</v>
      </c>
      <c r="T13" s="7" t="s">
        <v>334</v>
      </c>
      <c r="U13" s="14"/>
      <c r="V13" s="7" t="s">
        <v>334</v>
      </c>
      <c r="W13" s="14"/>
      <c r="X13" s="7" t="s">
        <v>334</v>
      </c>
      <c r="Y13" s="13"/>
      <c r="Z13" s="7" t="s">
        <v>251</v>
      </c>
      <c r="AA13" s="14"/>
      <c r="AB13" s="7" t="s">
        <v>334</v>
      </c>
      <c r="AD13" s="7" t="s">
        <v>2851</v>
      </c>
      <c r="AE13" s="13"/>
      <c r="AF13" s="14"/>
      <c r="AG13" s="7" t="s">
        <v>251</v>
      </c>
      <c r="AH13" s="14">
        <v>7</v>
      </c>
      <c r="AI13" s="7" t="s">
        <v>251</v>
      </c>
      <c r="AJ13" s="7" t="s">
        <v>334</v>
      </c>
      <c r="AL13" s="7" t="s">
        <v>251</v>
      </c>
      <c r="AM13" s="7" t="s">
        <v>418</v>
      </c>
      <c r="AN13" s="7" t="s">
        <v>251</v>
      </c>
      <c r="AP13" s="7" t="s">
        <v>336</v>
      </c>
      <c r="AR13" s="14"/>
      <c r="AS13" s="13"/>
      <c r="AV13" s="7" t="s">
        <v>336</v>
      </c>
      <c r="AW13" s="7" t="s">
        <v>336</v>
      </c>
      <c r="AX13" s="7" t="s">
        <v>336</v>
      </c>
      <c r="BB13" s="7" t="s">
        <v>337</v>
      </c>
      <c r="BD13" s="7" t="s">
        <v>350</v>
      </c>
      <c r="BF13" s="7" t="s">
        <v>334</v>
      </c>
      <c r="BH13" s="14"/>
    </row>
    <row r="14" spans="1:61" ht="76.5" x14ac:dyDescent="0.2">
      <c r="A14" s="6" t="s">
        <v>48</v>
      </c>
      <c r="B14" s="7" t="s">
        <v>251</v>
      </c>
      <c r="C14" s="7" t="s">
        <v>331</v>
      </c>
      <c r="D14" s="7" t="s">
        <v>2777</v>
      </c>
      <c r="F14" s="7" t="s">
        <v>332</v>
      </c>
      <c r="H14" s="7" t="s">
        <v>333</v>
      </c>
      <c r="J14" s="7" t="s">
        <v>334</v>
      </c>
      <c r="M14" s="7" t="s">
        <v>334</v>
      </c>
      <c r="P14" s="7" t="s">
        <v>334</v>
      </c>
      <c r="R14" s="7" t="s">
        <v>2812</v>
      </c>
      <c r="T14" s="7" t="s">
        <v>251</v>
      </c>
      <c r="U14" s="14">
        <v>0</v>
      </c>
      <c r="V14" s="7" t="s">
        <v>334</v>
      </c>
      <c r="W14" s="14"/>
      <c r="X14" s="7" t="s">
        <v>334</v>
      </c>
      <c r="Y14" s="13"/>
      <c r="Z14" s="7" t="s">
        <v>251</v>
      </c>
      <c r="AA14" s="14">
        <v>1000</v>
      </c>
      <c r="AB14" s="7" t="s">
        <v>334</v>
      </c>
      <c r="AD14" s="7" t="s">
        <v>2848</v>
      </c>
      <c r="AE14" s="13"/>
      <c r="AF14" s="14"/>
      <c r="AG14" s="7" t="s">
        <v>334</v>
      </c>
      <c r="AH14" s="14"/>
      <c r="AI14" s="7" t="s">
        <v>334</v>
      </c>
      <c r="AJ14" s="7" t="s">
        <v>334</v>
      </c>
      <c r="AL14" s="7" t="s">
        <v>251</v>
      </c>
      <c r="AM14" s="7" t="s">
        <v>409</v>
      </c>
      <c r="AN14" s="7" t="s">
        <v>251</v>
      </c>
      <c r="AP14" s="7" t="s">
        <v>336</v>
      </c>
      <c r="AR14" s="14"/>
      <c r="AS14" s="13"/>
      <c r="AV14" s="7" t="s">
        <v>336</v>
      </c>
      <c r="AW14" s="7" t="s">
        <v>336</v>
      </c>
      <c r="AX14" s="7" t="s">
        <v>336</v>
      </c>
      <c r="BB14" s="7" t="s">
        <v>130</v>
      </c>
      <c r="BC14" s="7" t="s">
        <v>410</v>
      </c>
      <c r="BD14" s="7" t="s">
        <v>130</v>
      </c>
      <c r="BE14" s="7" t="s">
        <v>410</v>
      </c>
      <c r="BF14" s="7" t="s">
        <v>251</v>
      </c>
      <c r="BG14" s="7" t="s">
        <v>251</v>
      </c>
      <c r="BH14" s="14">
        <v>1000</v>
      </c>
    </row>
    <row r="15" spans="1:61" ht="76.5" x14ac:dyDescent="0.2">
      <c r="A15" s="6" t="s">
        <v>57</v>
      </c>
      <c r="B15" s="7" t="s">
        <v>251</v>
      </c>
      <c r="C15" s="7" t="s">
        <v>331</v>
      </c>
      <c r="D15" s="7" t="s">
        <v>2777</v>
      </c>
      <c r="F15" s="7" t="s">
        <v>332</v>
      </c>
      <c r="H15" s="7" t="s">
        <v>333</v>
      </c>
      <c r="J15" s="7" t="s">
        <v>334</v>
      </c>
      <c r="M15" s="7" t="s">
        <v>334</v>
      </c>
      <c r="P15" s="7" t="s">
        <v>334</v>
      </c>
      <c r="R15" s="7" t="s">
        <v>2819</v>
      </c>
      <c r="T15" s="7" t="s">
        <v>251</v>
      </c>
      <c r="U15" s="14">
        <v>0</v>
      </c>
      <c r="V15" s="7" t="s">
        <v>334</v>
      </c>
      <c r="W15" s="14"/>
      <c r="X15" s="7" t="s">
        <v>334</v>
      </c>
      <c r="Y15" s="13"/>
      <c r="Z15" s="7" t="s">
        <v>251</v>
      </c>
      <c r="AA15" s="14">
        <v>500</v>
      </c>
      <c r="AB15" s="7" t="s">
        <v>334</v>
      </c>
      <c r="AD15" s="7" t="s">
        <v>2846</v>
      </c>
      <c r="AE15" s="13">
        <v>5</v>
      </c>
      <c r="AF15" s="14"/>
      <c r="AG15" s="7" t="s">
        <v>334</v>
      </c>
      <c r="AH15" s="14"/>
      <c r="AI15" s="7" t="s">
        <v>251</v>
      </c>
      <c r="AJ15" s="7" t="s">
        <v>251</v>
      </c>
      <c r="AL15" s="7" t="s">
        <v>251</v>
      </c>
      <c r="AM15" s="7" t="s">
        <v>421</v>
      </c>
      <c r="AN15" s="7" t="s">
        <v>251</v>
      </c>
      <c r="AP15" s="7" t="s">
        <v>336</v>
      </c>
      <c r="AR15" s="14"/>
      <c r="AS15" s="13"/>
      <c r="AV15" s="7" t="s">
        <v>336</v>
      </c>
      <c r="AW15" s="7" t="s">
        <v>336</v>
      </c>
      <c r="AX15" s="7" t="s">
        <v>336</v>
      </c>
      <c r="BB15" s="7" t="s">
        <v>337</v>
      </c>
      <c r="BD15" s="7" t="s">
        <v>344</v>
      </c>
      <c r="BF15" s="7" t="s">
        <v>334</v>
      </c>
      <c r="BH15" s="14"/>
    </row>
    <row r="16" spans="1:61" ht="76.5" x14ac:dyDescent="0.2">
      <c r="A16" s="6" t="s">
        <v>54</v>
      </c>
      <c r="B16" s="7" t="s">
        <v>251</v>
      </c>
      <c r="C16" s="7" t="s">
        <v>331</v>
      </c>
      <c r="D16" s="7" t="s">
        <v>2777</v>
      </c>
      <c r="F16" s="7" t="s">
        <v>362</v>
      </c>
      <c r="H16" s="7" t="s">
        <v>333</v>
      </c>
      <c r="J16" s="7" t="s">
        <v>334</v>
      </c>
      <c r="M16" s="7" t="s">
        <v>334</v>
      </c>
      <c r="P16" s="7" t="s">
        <v>334</v>
      </c>
      <c r="R16" s="7" t="s">
        <v>2816</v>
      </c>
      <c r="T16" s="7" t="s">
        <v>251</v>
      </c>
      <c r="U16" s="14"/>
      <c r="V16" s="7" t="s">
        <v>334</v>
      </c>
      <c r="W16" s="14"/>
      <c r="X16" s="7" t="s">
        <v>334</v>
      </c>
      <c r="Y16" s="13"/>
      <c r="Z16" s="7" t="s">
        <v>251</v>
      </c>
      <c r="AA16" s="14">
        <v>1000</v>
      </c>
      <c r="AB16" s="7" t="s">
        <v>334</v>
      </c>
      <c r="AD16" s="7" t="s">
        <v>2847</v>
      </c>
      <c r="AE16" s="13"/>
      <c r="AF16" s="14"/>
      <c r="AG16" s="7" t="s">
        <v>334</v>
      </c>
      <c r="AH16" s="14"/>
      <c r="AI16" s="7" t="s">
        <v>251</v>
      </c>
      <c r="AJ16" s="7" t="s">
        <v>334</v>
      </c>
      <c r="AL16" s="7" t="s">
        <v>251</v>
      </c>
      <c r="AM16" s="7" t="s">
        <v>417</v>
      </c>
      <c r="AN16" s="7" t="s">
        <v>251</v>
      </c>
      <c r="AP16" s="7" t="s">
        <v>336</v>
      </c>
      <c r="AR16" s="14"/>
      <c r="AS16" s="13"/>
      <c r="AV16" s="7" t="s">
        <v>336</v>
      </c>
      <c r="AW16" s="7" t="s">
        <v>336</v>
      </c>
      <c r="AX16" s="7" t="s">
        <v>336</v>
      </c>
      <c r="BB16" s="7" t="s">
        <v>337</v>
      </c>
      <c r="BD16" s="7" t="s">
        <v>350</v>
      </c>
      <c r="BF16" s="7" t="s">
        <v>334</v>
      </c>
      <c r="BH16" s="14"/>
    </row>
    <row r="17" spans="1:61" ht="76.5" x14ac:dyDescent="0.2">
      <c r="A17" s="6" t="s">
        <v>23</v>
      </c>
      <c r="B17" s="7" t="s">
        <v>251</v>
      </c>
      <c r="C17" s="7" t="s">
        <v>331</v>
      </c>
      <c r="D17" s="7" t="s">
        <v>2777</v>
      </c>
      <c r="F17" s="7" t="s">
        <v>362</v>
      </c>
      <c r="H17" s="7" t="s">
        <v>130</v>
      </c>
      <c r="I17" s="7">
        <v>26</v>
      </c>
      <c r="J17" s="7" t="s">
        <v>334</v>
      </c>
      <c r="M17" s="7" t="s">
        <v>334</v>
      </c>
      <c r="P17" s="7" t="s">
        <v>334</v>
      </c>
      <c r="R17" s="7" t="s">
        <v>2791</v>
      </c>
      <c r="T17" s="7" t="s">
        <v>251</v>
      </c>
      <c r="U17" s="14"/>
      <c r="V17" s="7" t="s">
        <v>334</v>
      </c>
      <c r="W17" s="14"/>
      <c r="X17" s="7" t="s">
        <v>251</v>
      </c>
      <c r="Y17" s="13">
        <v>20</v>
      </c>
      <c r="Z17" s="7" t="s">
        <v>251</v>
      </c>
      <c r="AA17" s="14">
        <v>500</v>
      </c>
      <c r="AB17" s="7" t="s">
        <v>334</v>
      </c>
      <c r="AD17" s="7" t="s">
        <v>2839</v>
      </c>
      <c r="AE17" s="13"/>
      <c r="AF17" s="15">
        <v>7.5</v>
      </c>
      <c r="AG17" s="7" t="s">
        <v>334</v>
      </c>
      <c r="AH17" s="14"/>
      <c r="AI17" s="7" t="s">
        <v>251</v>
      </c>
      <c r="AJ17" s="7" t="s">
        <v>251</v>
      </c>
      <c r="AL17" s="7" t="s">
        <v>251</v>
      </c>
      <c r="AM17" s="7" t="s">
        <v>364</v>
      </c>
      <c r="AN17" s="7" t="s">
        <v>251</v>
      </c>
      <c r="AP17" s="7" t="s">
        <v>336</v>
      </c>
      <c r="AR17" s="14"/>
      <c r="AS17" s="13"/>
      <c r="AV17" s="7" t="s">
        <v>336</v>
      </c>
      <c r="AW17" s="7" t="s">
        <v>336</v>
      </c>
      <c r="AX17" s="7" t="s">
        <v>336</v>
      </c>
      <c r="BB17" s="7" t="s">
        <v>343</v>
      </c>
      <c r="BD17" s="7" t="s">
        <v>344</v>
      </c>
      <c r="BF17" s="7" t="s">
        <v>334</v>
      </c>
      <c r="BH17" s="14"/>
    </row>
    <row r="18" spans="1:61" ht="89.25" x14ac:dyDescent="0.2">
      <c r="A18" s="6" t="s">
        <v>27</v>
      </c>
      <c r="B18" s="7" t="s">
        <v>251</v>
      </c>
      <c r="C18" s="7" t="s">
        <v>331</v>
      </c>
      <c r="D18" s="7" t="s">
        <v>2777</v>
      </c>
      <c r="F18" s="7" t="s">
        <v>332</v>
      </c>
      <c r="H18" s="7" t="s">
        <v>333</v>
      </c>
      <c r="J18" s="7" t="s">
        <v>334</v>
      </c>
      <c r="M18" s="7" t="s">
        <v>334</v>
      </c>
      <c r="P18" s="7" t="s">
        <v>334</v>
      </c>
      <c r="R18" s="7" t="s">
        <v>2793</v>
      </c>
      <c r="T18" s="7" t="s">
        <v>334</v>
      </c>
      <c r="U18" s="14"/>
      <c r="V18" s="7" t="s">
        <v>334</v>
      </c>
      <c r="W18" s="14"/>
      <c r="X18" s="7" t="s">
        <v>334</v>
      </c>
      <c r="Y18" s="13"/>
      <c r="Z18" s="7" t="s">
        <v>251</v>
      </c>
      <c r="AA18" s="14">
        <v>750</v>
      </c>
      <c r="AB18" s="7" t="s">
        <v>334</v>
      </c>
      <c r="AD18" s="7" t="s">
        <v>2838</v>
      </c>
      <c r="AE18" s="13"/>
      <c r="AF18" s="14"/>
      <c r="AG18" s="7" t="s">
        <v>334</v>
      </c>
      <c r="AH18" s="14"/>
      <c r="AI18" s="7" t="s">
        <v>251</v>
      </c>
      <c r="AJ18" s="7" t="s">
        <v>334</v>
      </c>
      <c r="AL18" s="7" t="s">
        <v>251</v>
      </c>
      <c r="AM18" s="7" t="s">
        <v>367</v>
      </c>
      <c r="AN18" s="7" t="s">
        <v>251</v>
      </c>
      <c r="AP18" s="7" t="s">
        <v>336</v>
      </c>
      <c r="AR18" s="14"/>
      <c r="AS18" s="13"/>
      <c r="AV18" s="7" t="s">
        <v>336</v>
      </c>
      <c r="AW18" s="7" t="s">
        <v>336</v>
      </c>
      <c r="AX18" s="7" t="s">
        <v>336</v>
      </c>
      <c r="BB18" s="7" t="s">
        <v>337</v>
      </c>
      <c r="BD18" s="7" t="s">
        <v>338</v>
      </c>
      <c r="BF18" s="7" t="s">
        <v>334</v>
      </c>
      <c r="BH18" s="14"/>
    </row>
    <row r="19" spans="1:61" ht="76.5" x14ac:dyDescent="0.2">
      <c r="A19" s="6" t="s">
        <v>63</v>
      </c>
      <c r="B19" s="7" t="s">
        <v>251</v>
      </c>
      <c r="C19" s="7" t="s">
        <v>331</v>
      </c>
      <c r="D19" s="7" t="s">
        <v>2777</v>
      </c>
      <c r="F19" s="7" t="s">
        <v>130</v>
      </c>
      <c r="G19" s="7">
        <v>20</v>
      </c>
      <c r="H19" s="7" t="s">
        <v>333</v>
      </c>
      <c r="J19" s="7" t="s">
        <v>334</v>
      </c>
      <c r="M19" s="7" t="s">
        <v>334</v>
      </c>
      <c r="P19" s="7" t="s">
        <v>334</v>
      </c>
      <c r="R19" s="7" t="s">
        <v>2825</v>
      </c>
      <c r="S19" s="7" t="s">
        <v>426</v>
      </c>
      <c r="T19" s="7" t="s">
        <v>251</v>
      </c>
      <c r="U19" s="14">
        <v>200</v>
      </c>
      <c r="V19" s="7" t="s">
        <v>334</v>
      </c>
      <c r="W19" s="14"/>
      <c r="X19" s="7" t="s">
        <v>334</v>
      </c>
      <c r="Y19" s="13"/>
      <c r="Z19" s="7" t="s">
        <v>251</v>
      </c>
      <c r="AA19" s="14">
        <v>500</v>
      </c>
      <c r="AB19" s="7" t="s">
        <v>334</v>
      </c>
      <c r="AD19" s="7" t="s">
        <v>2853</v>
      </c>
      <c r="AE19" s="13"/>
      <c r="AF19" s="14"/>
      <c r="AG19" s="7" t="s">
        <v>334</v>
      </c>
      <c r="AH19" s="14"/>
      <c r="AI19" s="7" t="s">
        <v>251</v>
      </c>
      <c r="AJ19" s="7" t="s">
        <v>251</v>
      </c>
      <c r="AL19" s="7" t="s">
        <v>251</v>
      </c>
      <c r="AM19" s="7" t="s">
        <v>427</v>
      </c>
      <c r="AN19" s="7" t="s">
        <v>251</v>
      </c>
      <c r="AP19" s="7" t="s">
        <v>336</v>
      </c>
      <c r="AR19" s="14"/>
      <c r="AS19" s="13"/>
      <c r="AV19" s="7" t="s">
        <v>336</v>
      </c>
      <c r="AW19" s="7" t="s">
        <v>336</v>
      </c>
      <c r="AX19" s="7" t="s">
        <v>336</v>
      </c>
      <c r="BB19" s="7" t="s">
        <v>343</v>
      </c>
      <c r="BD19" s="7" t="s">
        <v>386</v>
      </c>
      <c r="BF19" s="7" t="s">
        <v>334</v>
      </c>
      <c r="BH19" s="14"/>
    </row>
    <row r="20" spans="1:61" ht="76.5" x14ac:dyDescent="0.2">
      <c r="A20" s="6" t="s">
        <v>25</v>
      </c>
      <c r="B20" s="7" t="s">
        <v>251</v>
      </c>
      <c r="C20" s="7" t="s">
        <v>331</v>
      </c>
      <c r="D20" s="7" t="s">
        <v>2777</v>
      </c>
      <c r="F20" s="7" t="s">
        <v>332</v>
      </c>
      <c r="H20" s="7" t="s">
        <v>333</v>
      </c>
      <c r="J20" s="7" t="s">
        <v>334</v>
      </c>
      <c r="M20" s="7" t="s">
        <v>334</v>
      </c>
      <c r="P20" s="7" t="s">
        <v>334</v>
      </c>
      <c r="R20" s="7" t="s">
        <v>2789</v>
      </c>
      <c r="T20" s="7" t="s">
        <v>251</v>
      </c>
      <c r="U20" s="14"/>
      <c r="V20" s="7" t="s">
        <v>334</v>
      </c>
      <c r="W20" s="14"/>
      <c r="X20" s="7" t="s">
        <v>334</v>
      </c>
      <c r="Y20" s="13"/>
      <c r="Z20" s="7" t="s">
        <v>251</v>
      </c>
      <c r="AA20" s="14">
        <v>500</v>
      </c>
      <c r="AB20" s="7" t="s">
        <v>334</v>
      </c>
      <c r="AD20" s="7" t="s">
        <v>356</v>
      </c>
      <c r="AE20" s="13"/>
      <c r="AF20" s="14"/>
      <c r="AG20" s="7" t="s">
        <v>251</v>
      </c>
      <c r="AH20" s="14">
        <v>9</v>
      </c>
      <c r="AI20" s="7" t="s">
        <v>251</v>
      </c>
      <c r="AJ20" s="7" t="s">
        <v>251</v>
      </c>
      <c r="AL20" s="7" t="s">
        <v>251</v>
      </c>
      <c r="AM20" s="7" t="s">
        <v>359</v>
      </c>
      <c r="AN20" s="7" t="s">
        <v>251</v>
      </c>
      <c r="AP20" s="7" t="s">
        <v>336</v>
      </c>
      <c r="AR20" s="14"/>
      <c r="AS20" s="13"/>
      <c r="AV20" s="7" t="s">
        <v>336</v>
      </c>
      <c r="AW20" s="7" t="s">
        <v>336</v>
      </c>
      <c r="AX20" s="7" t="s">
        <v>336</v>
      </c>
      <c r="BB20" s="7" t="s">
        <v>337</v>
      </c>
      <c r="BD20" s="7" t="s">
        <v>338</v>
      </c>
      <c r="BF20" s="7" t="s">
        <v>334</v>
      </c>
      <c r="BH20" s="14"/>
    </row>
    <row r="21" spans="1:61" x14ac:dyDescent="0.2">
      <c r="A21" s="6" t="s">
        <v>26</v>
      </c>
      <c r="B21" s="7" t="s">
        <v>334</v>
      </c>
      <c r="U21" s="14"/>
      <c r="W21" s="14"/>
      <c r="Y21" s="13"/>
      <c r="AA21" s="14"/>
      <c r="AE21" s="13"/>
      <c r="AF21" s="14"/>
      <c r="AH21" s="14"/>
      <c r="AR21" s="14"/>
      <c r="AS21" s="13"/>
      <c r="BH21" s="14"/>
    </row>
    <row r="22" spans="1:61" ht="102" x14ac:dyDescent="0.2">
      <c r="A22" s="6" t="s">
        <v>20</v>
      </c>
      <c r="B22" s="7" t="s">
        <v>251</v>
      </c>
      <c r="C22" s="7" t="s">
        <v>331</v>
      </c>
      <c r="D22" s="7" t="s">
        <v>2777</v>
      </c>
      <c r="F22" s="7" t="s">
        <v>130</v>
      </c>
      <c r="G22" s="7">
        <v>26</v>
      </c>
      <c r="H22" s="7" t="s">
        <v>130</v>
      </c>
      <c r="I22" s="7">
        <v>26</v>
      </c>
      <c r="J22" s="7" t="s">
        <v>334</v>
      </c>
      <c r="M22" s="7" t="s">
        <v>334</v>
      </c>
      <c r="P22" s="7" t="s">
        <v>334</v>
      </c>
      <c r="R22" s="7" t="s">
        <v>2788</v>
      </c>
      <c r="S22" s="7" t="s">
        <v>360</v>
      </c>
      <c r="T22" s="7" t="s">
        <v>334</v>
      </c>
      <c r="U22" s="14"/>
      <c r="V22" s="7" t="s">
        <v>334</v>
      </c>
      <c r="W22" s="14"/>
      <c r="X22" s="7" t="s">
        <v>334</v>
      </c>
      <c r="Y22" s="13"/>
      <c r="Z22" s="7" t="s">
        <v>251</v>
      </c>
      <c r="AA22" s="14">
        <v>600</v>
      </c>
      <c r="AB22" s="7" t="s">
        <v>334</v>
      </c>
      <c r="AD22" s="7" t="s">
        <v>2840</v>
      </c>
      <c r="AE22" s="13">
        <v>10</v>
      </c>
      <c r="AF22" s="14"/>
      <c r="AG22" s="7" t="s">
        <v>334</v>
      </c>
      <c r="AH22" s="14"/>
      <c r="AI22" s="7" t="s">
        <v>251</v>
      </c>
      <c r="AJ22" s="7" t="s">
        <v>334</v>
      </c>
      <c r="AL22" s="7" t="s">
        <v>334</v>
      </c>
      <c r="AN22" s="7" t="s">
        <v>251</v>
      </c>
      <c r="AP22" s="7" t="s">
        <v>340</v>
      </c>
      <c r="AQ22" s="7" t="s">
        <v>341</v>
      </c>
      <c r="AR22" s="14"/>
      <c r="AS22" s="13">
        <v>10</v>
      </c>
      <c r="AV22" s="7" t="s">
        <v>340</v>
      </c>
      <c r="AW22" s="7" t="s">
        <v>340</v>
      </c>
      <c r="AX22" s="7" t="s">
        <v>340</v>
      </c>
      <c r="BA22" s="7" t="s">
        <v>361</v>
      </c>
      <c r="BB22" s="7" t="s">
        <v>337</v>
      </c>
      <c r="BD22" s="7" t="s">
        <v>350</v>
      </c>
      <c r="BF22" s="7" t="s">
        <v>251</v>
      </c>
      <c r="BG22" s="7" t="s">
        <v>251</v>
      </c>
      <c r="BH22" s="14">
        <v>500</v>
      </c>
    </row>
    <row r="23" spans="1:61" ht="63.75" x14ac:dyDescent="0.2">
      <c r="A23" s="6" t="s">
        <v>70</v>
      </c>
      <c r="B23" s="7" t="s">
        <v>251</v>
      </c>
      <c r="C23" s="7" t="s">
        <v>331</v>
      </c>
      <c r="D23" s="7" t="s">
        <v>2777</v>
      </c>
      <c r="F23" s="7" t="s">
        <v>332</v>
      </c>
      <c r="H23" s="7" t="s">
        <v>130</v>
      </c>
      <c r="I23" s="7">
        <v>26</v>
      </c>
      <c r="J23" s="7" t="s">
        <v>334</v>
      </c>
      <c r="M23" s="7" t="s">
        <v>334</v>
      </c>
      <c r="P23" s="7" t="s">
        <v>334</v>
      </c>
      <c r="R23" s="7" t="s">
        <v>2832</v>
      </c>
      <c r="T23" s="7" t="s">
        <v>334</v>
      </c>
      <c r="U23" s="14"/>
      <c r="V23" s="7" t="s">
        <v>334</v>
      </c>
      <c r="W23" s="14"/>
      <c r="X23" s="7" t="s">
        <v>334</v>
      </c>
      <c r="Y23" s="13"/>
      <c r="Z23" s="7" t="s">
        <v>251</v>
      </c>
      <c r="AA23" s="14">
        <v>500</v>
      </c>
      <c r="AB23" s="7" t="s">
        <v>334</v>
      </c>
      <c r="AD23" s="7" t="s">
        <v>356</v>
      </c>
      <c r="AE23" s="13">
        <v>7</v>
      </c>
      <c r="AF23" s="14"/>
      <c r="AG23" s="7" t="s">
        <v>251</v>
      </c>
      <c r="AH23" s="14">
        <v>7</v>
      </c>
      <c r="AI23" s="7" t="s">
        <v>251</v>
      </c>
      <c r="AJ23" s="7" t="s">
        <v>251</v>
      </c>
      <c r="AL23" s="7" t="s">
        <v>251</v>
      </c>
      <c r="AM23" s="7" t="s">
        <v>434</v>
      </c>
      <c r="AN23" s="7" t="s">
        <v>251</v>
      </c>
      <c r="AP23" s="7" t="s">
        <v>336</v>
      </c>
      <c r="AR23" s="14"/>
      <c r="AV23" s="7" t="s">
        <v>336</v>
      </c>
      <c r="AW23" s="7" t="s">
        <v>336</v>
      </c>
      <c r="AX23" s="7" t="s">
        <v>336</v>
      </c>
      <c r="BB23" s="7" t="s">
        <v>337</v>
      </c>
      <c r="BD23" s="7" t="s">
        <v>130</v>
      </c>
      <c r="BE23" s="7" t="s">
        <v>435</v>
      </c>
      <c r="BF23" s="7" t="s">
        <v>334</v>
      </c>
      <c r="BH23" s="14"/>
    </row>
    <row r="24" spans="1:61" ht="51" x14ac:dyDescent="0.2">
      <c r="A24" s="6" t="s">
        <v>14</v>
      </c>
      <c r="B24" s="7" t="s">
        <v>251</v>
      </c>
      <c r="C24" s="7" t="s">
        <v>331</v>
      </c>
      <c r="D24" s="7" t="s">
        <v>2777</v>
      </c>
      <c r="F24" s="7" t="s">
        <v>332</v>
      </c>
      <c r="H24" s="7" t="s">
        <v>333</v>
      </c>
      <c r="J24" s="7" t="s">
        <v>334</v>
      </c>
      <c r="M24" s="7" t="s">
        <v>334</v>
      </c>
      <c r="P24" s="7" t="s">
        <v>334</v>
      </c>
      <c r="R24" s="7" t="s">
        <v>2782</v>
      </c>
      <c r="T24" s="7" t="s">
        <v>334</v>
      </c>
      <c r="U24" s="14"/>
      <c r="V24" s="7" t="s">
        <v>334</v>
      </c>
      <c r="W24" s="14"/>
      <c r="X24" s="7" t="s">
        <v>251</v>
      </c>
      <c r="Y24" s="13">
        <v>20</v>
      </c>
      <c r="Z24" s="7" t="s">
        <v>251</v>
      </c>
      <c r="AA24" s="14">
        <v>500</v>
      </c>
      <c r="AB24" s="7" t="s">
        <v>334</v>
      </c>
      <c r="AE24" s="13"/>
      <c r="AF24" s="14"/>
      <c r="AH24" s="14"/>
      <c r="AL24" s="7" t="s">
        <v>251</v>
      </c>
      <c r="AM24" s="7" t="s">
        <v>349</v>
      </c>
      <c r="AN24" s="7" t="s">
        <v>251</v>
      </c>
      <c r="AP24" s="7" t="s">
        <v>336</v>
      </c>
      <c r="AR24" s="14"/>
      <c r="AS24" s="13"/>
      <c r="AV24" s="7" t="s">
        <v>336</v>
      </c>
      <c r="AW24" s="7" t="s">
        <v>336</v>
      </c>
      <c r="AX24" s="7" t="s">
        <v>336</v>
      </c>
      <c r="BB24" s="7" t="s">
        <v>337</v>
      </c>
      <c r="BD24" s="7" t="s">
        <v>350</v>
      </c>
      <c r="BF24" s="7" t="s">
        <v>334</v>
      </c>
      <c r="BH24" s="14"/>
    </row>
    <row r="25" spans="1:61" ht="89.25" x14ac:dyDescent="0.2">
      <c r="A25" s="6" t="s">
        <v>24</v>
      </c>
      <c r="B25" s="7" t="s">
        <v>251</v>
      </c>
      <c r="C25" s="7" t="s">
        <v>331</v>
      </c>
      <c r="D25" s="7" t="s">
        <v>2777</v>
      </c>
      <c r="F25" s="7" t="s">
        <v>332</v>
      </c>
      <c r="H25" s="7" t="s">
        <v>333</v>
      </c>
      <c r="J25" s="7" t="s">
        <v>334</v>
      </c>
      <c r="M25" s="7" t="s">
        <v>334</v>
      </c>
      <c r="P25" s="7" t="s">
        <v>334</v>
      </c>
      <c r="R25" s="7" t="s">
        <v>2792</v>
      </c>
      <c r="T25" s="7" t="s">
        <v>251</v>
      </c>
      <c r="U25" s="14"/>
      <c r="V25" s="7" t="s">
        <v>334</v>
      </c>
      <c r="W25" s="14"/>
      <c r="X25" s="7" t="s">
        <v>334</v>
      </c>
      <c r="Y25" s="13"/>
      <c r="Z25" s="7" t="s">
        <v>251</v>
      </c>
      <c r="AA25" s="14">
        <v>400</v>
      </c>
      <c r="AB25" s="7" t="s">
        <v>334</v>
      </c>
      <c r="AD25" s="7" t="s">
        <v>2843</v>
      </c>
      <c r="AE25" s="13">
        <v>10</v>
      </c>
      <c r="AF25" s="14"/>
      <c r="AG25" s="7" t="s">
        <v>334</v>
      </c>
      <c r="AH25" s="14"/>
      <c r="AI25" s="7" t="s">
        <v>251</v>
      </c>
      <c r="AJ25" s="7" t="s">
        <v>251</v>
      </c>
      <c r="AL25" s="7" t="s">
        <v>251</v>
      </c>
      <c r="AM25" s="7" t="s">
        <v>365</v>
      </c>
      <c r="AN25" s="7" t="s">
        <v>251</v>
      </c>
      <c r="AP25" s="7" t="s">
        <v>336</v>
      </c>
      <c r="AR25" s="14"/>
      <c r="AS25" s="13"/>
      <c r="AV25" s="7" t="s">
        <v>336</v>
      </c>
      <c r="AW25" s="7" t="s">
        <v>336</v>
      </c>
      <c r="AX25" s="7" t="s">
        <v>336</v>
      </c>
      <c r="BB25" s="7" t="s">
        <v>343</v>
      </c>
      <c r="BD25" s="7" t="s">
        <v>350</v>
      </c>
      <c r="BF25" s="7" t="s">
        <v>251</v>
      </c>
      <c r="BG25" s="7" t="s">
        <v>334</v>
      </c>
      <c r="BH25" s="14"/>
      <c r="BI25" s="7" t="s">
        <v>366</v>
      </c>
    </row>
    <row r="26" spans="1:61" ht="76.5" x14ac:dyDescent="0.2">
      <c r="A26" s="6" t="s">
        <v>37</v>
      </c>
      <c r="B26" s="7" t="s">
        <v>251</v>
      </c>
      <c r="C26" s="7" t="s">
        <v>331</v>
      </c>
      <c r="D26" s="7" t="s">
        <v>2777</v>
      </c>
      <c r="F26" s="7" t="s">
        <v>130</v>
      </c>
      <c r="G26" s="7">
        <v>20</v>
      </c>
      <c r="H26" s="7" t="s">
        <v>333</v>
      </c>
      <c r="J26" s="7" t="s">
        <v>334</v>
      </c>
      <c r="M26" s="7" t="s">
        <v>334</v>
      </c>
      <c r="P26" s="7" t="s">
        <v>334</v>
      </c>
      <c r="R26" s="7" t="s">
        <v>2802</v>
      </c>
      <c r="T26" s="7" t="s">
        <v>251</v>
      </c>
      <c r="U26" s="14">
        <v>75</v>
      </c>
      <c r="V26" s="7" t="s">
        <v>334</v>
      </c>
      <c r="W26" s="14"/>
      <c r="X26" s="7" t="s">
        <v>334</v>
      </c>
      <c r="Y26" s="13"/>
      <c r="Z26" s="7" t="s">
        <v>251</v>
      </c>
      <c r="AA26" s="14">
        <v>500</v>
      </c>
      <c r="AB26" s="7" t="s">
        <v>334</v>
      </c>
      <c r="AD26" s="7" t="s">
        <v>2846</v>
      </c>
      <c r="AE26" s="13">
        <v>20</v>
      </c>
      <c r="AF26" s="14"/>
      <c r="AG26" s="7" t="s">
        <v>251</v>
      </c>
      <c r="AH26" s="14">
        <v>8</v>
      </c>
      <c r="AI26" s="7" t="s">
        <v>251</v>
      </c>
      <c r="AJ26" s="7" t="s">
        <v>251</v>
      </c>
      <c r="AL26" s="7" t="s">
        <v>251</v>
      </c>
      <c r="AM26" s="7" t="s">
        <v>392</v>
      </c>
      <c r="AN26" s="7" t="s">
        <v>251</v>
      </c>
      <c r="AP26" s="7" t="s">
        <v>336</v>
      </c>
      <c r="AR26" s="14"/>
      <c r="AS26" s="13"/>
      <c r="AV26" s="7" t="s">
        <v>336</v>
      </c>
      <c r="AW26" s="7" t="s">
        <v>336</v>
      </c>
      <c r="AX26" s="7" t="s">
        <v>336</v>
      </c>
      <c r="BB26" s="7" t="s">
        <v>343</v>
      </c>
      <c r="BD26" s="7" t="s">
        <v>344</v>
      </c>
      <c r="BF26" s="7" t="s">
        <v>334</v>
      </c>
      <c r="BH26" s="14"/>
    </row>
    <row r="27" spans="1:61" ht="63.75" x14ac:dyDescent="0.2">
      <c r="A27" s="6" t="s">
        <v>13</v>
      </c>
      <c r="B27" s="7" t="s">
        <v>251</v>
      </c>
      <c r="C27" s="7" t="s">
        <v>331</v>
      </c>
      <c r="D27" s="7" t="s">
        <v>2777</v>
      </c>
      <c r="F27" s="7" t="s">
        <v>332</v>
      </c>
      <c r="H27" s="7" t="s">
        <v>333</v>
      </c>
      <c r="J27" s="7" t="s">
        <v>334</v>
      </c>
      <c r="M27" s="7" t="s">
        <v>334</v>
      </c>
      <c r="P27" s="7" t="s">
        <v>334</v>
      </c>
      <c r="R27" s="7" t="s">
        <v>2781</v>
      </c>
      <c r="T27" s="7" t="s">
        <v>334</v>
      </c>
      <c r="U27" s="14"/>
      <c r="V27" s="7" t="s">
        <v>334</v>
      </c>
      <c r="W27" s="14"/>
      <c r="X27" s="7" t="s">
        <v>334</v>
      </c>
      <c r="Y27" s="13"/>
      <c r="Z27" s="7" t="s">
        <v>251</v>
      </c>
      <c r="AA27" s="14">
        <v>1000</v>
      </c>
      <c r="AB27" s="7" t="s">
        <v>251</v>
      </c>
      <c r="AC27" s="7">
        <v>6</v>
      </c>
      <c r="AD27" s="7" t="s">
        <v>2836</v>
      </c>
      <c r="AE27" s="13">
        <v>10</v>
      </c>
      <c r="AF27" s="14"/>
      <c r="AG27" s="7" t="s">
        <v>251</v>
      </c>
      <c r="AH27" s="14">
        <v>5</v>
      </c>
      <c r="AI27" s="7" t="s">
        <v>334</v>
      </c>
      <c r="AJ27" s="7" t="s">
        <v>334</v>
      </c>
      <c r="AL27" s="7" t="s">
        <v>251</v>
      </c>
      <c r="AM27" s="7" t="s">
        <v>346</v>
      </c>
      <c r="AN27" s="7" t="s">
        <v>251</v>
      </c>
      <c r="AP27" s="7" t="s">
        <v>336</v>
      </c>
      <c r="AR27" s="14"/>
      <c r="AS27" s="13"/>
      <c r="AV27" s="7" t="s">
        <v>340</v>
      </c>
      <c r="AW27" s="7" t="s">
        <v>340</v>
      </c>
      <c r="AX27" s="7" t="s">
        <v>340</v>
      </c>
      <c r="BA27" s="7" t="s">
        <v>347</v>
      </c>
      <c r="BB27" s="7" t="s">
        <v>337</v>
      </c>
      <c r="BD27" s="7" t="s">
        <v>130</v>
      </c>
      <c r="BE27" s="7" t="s">
        <v>348</v>
      </c>
      <c r="BF27" s="7" t="s">
        <v>334</v>
      </c>
      <c r="BH27" s="14"/>
    </row>
    <row r="28" spans="1:61" ht="76.5" x14ac:dyDescent="0.2">
      <c r="A28" s="6" t="s">
        <v>35</v>
      </c>
      <c r="B28" s="7" t="s">
        <v>251</v>
      </c>
      <c r="C28" s="7" t="s">
        <v>331</v>
      </c>
      <c r="D28" s="7" t="s">
        <v>2777</v>
      </c>
      <c r="F28" s="7" t="s">
        <v>130</v>
      </c>
      <c r="G28" s="7">
        <v>22</v>
      </c>
      <c r="H28" s="7" t="s">
        <v>333</v>
      </c>
      <c r="J28" s="7" t="s">
        <v>334</v>
      </c>
      <c r="M28" s="7" t="s">
        <v>334</v>
      </c>
      <c r="P28" s="7" t="s">
        <v>334</v>
      </c>
      <c r="R28" s="7" t="s">
        <v>2800</v>
      </c>
      <c r="T28" s="7" t="s">
        <v>251</v>
      </c>
      <c r="U28" s="14">
        <v>20</v>
      </c>
      <c r="V28" s="7" t="s">
        <v>334</v>
      </c>
      <c r="W28" s="14"/>
      <c r="X28" s="7" t="s">
        <v>334</v>
      </c>
      <c r="Y28" s="13"/>
      <c r="Z28" s="7" t="s">
        <v>251</v>
      </c>
      <c r="AA28" s="14">
        <v>5000</v>
      </c>
      <c r="AB28" s="7" t="s">
        <v>334</v>
      </c>
      <c r="AD28" s="7" t="s">
        <v>2845</v>
      </c>
      <c r="AE28" s="13"/>
      <c r="AF28" s="14"/>
      <c r="AG28" s="7" t="s">
        <v>251</v>
      </c>
      <c r="AH28" s="14">
        <v>10</v>
      </c>
      <c r="AI28" s="7" t="s">
        <v>251</v>
      </c>
      <c r="AJ28" s="7" t="s">
        <v>251</v>
      </c>
      <c r="AL28" s="7" t="s">
        <v>251</v>
      </c>
      <c r="AM28" s="7" t="s">
        <v>390</v>
      </c>
      <c r="AN28" s="7" t="s">
        <v>251</v>
      </c>
      <c r="AP28" s="7" t="s">
        <v>336</v>
      </c>
      <c r="AR28" s="14"/>
      <c r="AS28" s="13"/>
      <c r="AV28" s="7" t="s">
        <v>336</v>
      </c>
      <c r="AW28" s="7" t="s">
        <v>336</v>
      </c>
      <c r="AX28" s="7" t="s">
        <v>336</v>
      </c>
      <c r="BB28" s="7" t="s">
        <v>343</v>
      </c>
      <c r="BD28" s="7" t="s">
        <v>344</v>
      </c>
      <c r="BF28" s="7" t="s">
        <v>334</v>
      </c>
      <c r="BH28" s="14"/>
    </row>
    <row r="29" spans="1:61" ht="76.5" x14ac:dyDescent="0.2">
      <c r="A29" s="6" t="s">
        <v>67</v>
      </c>
      <c r="B29" s="7" t="s">
        <v>251</v>
      </c>
      <c r="C29" s="7" t="s">
        <v>331</v>
      </c>
      <c r="D29" s="7" t="s">
        <v>2777</v>
      </c>
      <c r="F29" s="7" t="s">
        <v>332</v>
      </c>
      <c r="H29" s="7" t="s">
        <v>333</v>
      </c>
      <c r="J29" s="7" t="s">
        <v>334</v>
      </c>
      <c r="M29" s="7" t="s">
        <v>334</v>
      </c>
      <c r="P29" s="7" t="s">
        <v>334</v>
      </c>
      <c r="R29" s="7" t="s">
        <v>2829</v>
      </c>
      <c r="T29" s="7" t="s">
        <v>251</v>
      </c>
      <c r="U29" s="14"/>
      <c r="V29" s="7" t="s">
        <v>334</v>
      </c>
      <c r="W29" s="14"/>
      <c r="X29" s="7" t="s">
        <v>334</v>
      </c>
      <c r="Y29" s="13"/>
      <c r="Z29" s="7" t="s">
        <v>251</v>
      </c>
      <c r="AA29" s="14">
        <v>500</v>
      </c>
      <c r="AB29" s="7" t="s">
        <v>334</v>
      </c>
      <c r="AD29" s="7" t="s">
        <v>2845</v>
      </c>
      <c r="AE29" s="13">
        <v>15</v>
      </c>
      <c r="AF29" s="14"/>
      <c r="AG29" s="7" t="s">
        <v>251</v>
      </c>
      <c r="AH29" s="14">
        <v>7</v>
      </c>
      <c r="AI29" s="7" t="s">
        <v>251</v>
      </c>
      <c r="AJ29" s="7" t="s">
        <v>334</v>
      </c>
      <c r="AL29" s="7" t="s">
        <v>251</v>
      </c>
      <c r="AM29" s="7" t="s">
        <v>351</v>
      </c>
      <c r="AN29" s="7" t="s">
        <v>251</v>
      </c>
      <c r="AP29" s="7" t="s">
        <v>336</v>
      </c>
      <c r="AR29" s="14"/>
      <c r="AV29" s="7" t="s">
        <v>336</v>
      </c>
      <c r="AW29" s="7" t="s">
        <v>336</v>
      </c>
      <c r="AX29" s="7" t="s">
        <v>336</v>
      </c>
      <c r="BB29" s="7" t="s">
        <v>337</v>
      </c>
      <c r="BD29" s="7" t="s">
        <v>338</v>
      </c>
      <c r="BF29" s="7" t="s">
        <v>334</v>
      </c>
      <c r="BH29" s="14"/>
    </row>
    <row r="30" spans="1:61" ht="76.5" x14ac:dyDescent="0.2">
      <c r="A30" s="6" t="s">
        <v>49</v>
      </c>
      <c r="B30" s="7" t="s">
        <v>251</v>
      </c>
      <c r="C30" s="7" t="s">
        <v>331</v>
      </c>
      <c r="D30" s="7" t="s">
        <v>2777</v>
      </c>
      <c r="F30" s="7" t="s">
        <v>332</v>
      </c>
      <c r="H30" s="7" t="s">
        <v>333</v>
      </c>
      <c r="J30" s="7" t="s">
        <v>334</v>
      </c>
      <c r="M30" s="7" t="s">
        <v>334</v>
      </c>
      <c r="P30" s="7" t="s">
        <v>334</v>
      </c>
      <c r="R30" s="7" t="s">
        <v>2810</v>
      </c>
      <c r="T30" s="7" t="s">
        <v>251</v>
      </c>
      <c r="U30" s="14"/>
      <c r="V30" s="7" t="s">
        <v>334</v>
      </c>
      <c r="W30" s="14"/>
      <c r="X30" s="7" t="s">
        <v>334</v>
      </c>
      <c r="Y30" s="13"/>
      <c r="Z30" s="7" t="s">
        <v>251</v>
      </c>
      <c r="AA30" s="14">
        <v>500</v>
      </c>
      <c r="AB30" s="7" t="s">
        <v>334</v>
      </c>
      <c r="AD30" s="7" t="s">
        <v>2844</v>
      </c>
      <c r="AE30" s="13"/>
      <c r="AF30" s="14"/>
      <c r="AG30" s="7" t="s">
        <v>251</v>
      </c>
      <c r="AH30" s="14">
        <v>7</v>
      </c>
      <c r="AI30" s="7" t="s">
        <v>251</v>
      </c>
      <c r="AJ30" s="7" t="s">
        <v>251</v>
      </c>
      <c r="AL30" s="7" t="s">
        <v>251</v>
      </c>
      <c r="AM30" s="7" t="s">
        <v>359</v>
      </c>
      <c r="AN30" s="7" t="s">
        <v>251</v>
      </c>
      <c r="AP30" s="7" t="s">
        <v>336</v>
      </c>
      <c r="AR30" s="14"/>
      <c r="AS30" s="13"/>
      <c r="AV30" s="7" t="s">
        <v>336</v>
      </c>
      <c r="AW30" s="7" t="s">
        <v>336</v>
      </c>
      <c r="AX30" s="7" t="s">
        <v>336</v>
      </c>
      <c r="BB30" s="7" t="s">
        <v>337</v>
      </c>
      <c r="BD30" s="7" t="s">
        <v>338</v>
      </c>
      <c r="BF30" s="7" t="s">
        <v>345</v>
      </c>
      <c r="BH30" s="14"/>
    </row>
    <row r="31" spans="1:61" ht="89.25" x14ac:dyDescent="0.2">
      <c r="A31" s="6" t="s">
        <v>68</v>
      </c>
      <c r="B31" s="7" t="s">
        <v>251</v>
      </c>
      <c r="C31" s="7" t="s">
        <v>331</v>
      </c>
      <c r="D31" s="7" t="s">
        <v>2777</v>
      </c>
      <c r="F31" s="7" t="s">
        <v>130</v>
      </c>
      <c r="G31" s="7">
        <v>20</v>
      </c>
      <c r="H31" s="7" t="s">
        <v>368</v>
      </c>
      <c r="J31" s="7" t="s">
        <v>334</v>
      </c>
      <c r="M31" s="7" t="s">
        <v>334</v>
      </c>
      <c r="P31" s="7" t="s">
        <v>334</v>
      </c>
      <c r="R31" s="7" t="s">
        <v>2830</v>
      </c>
      <c r="T31" s="7" t="s">
        <v>251</v>
      </c>
      <c r="U31" s="14">
        <v>3</v>
      </c>
      <c r="V31" s="7" t="s">
        <v>334</v>
      </c>
      <c r="W31" s="14"/>
      <c r="X31" s="7" t="s">
        <v>334</v>
      </c>
      <c r="Y31" s="13"/>
      <c r="Z31" s="7" t="s">
        <v>251</v>
      </c>
      <c r="AA31" s="14">
        <v>1250</v>
      </c>
      <c r="AB31" s="7" t="s">
        <v>334</v>
      </c>
      <c r="AD31" s="7" t="s">
        <v>2838</v>
      </c>
      <c r="AE31" s="13"/>
      <c r="AF31" s="14"/>
      <c r="AG31" s="7" t="s">
        <v>334</v>
      </c>
      <c r="AH31" s="14"/>
      <c r="AI31" s="7" t="s">
        <v>251</v>
      </c>
      <c r="AJ31" s="7" t="s">
        <v>334</v>
      </c>
      <c r="AL31" s="7" t="s">
        <v>251</v>
      </c>
      <c r="AM31" s="7" t="s">
        <v>432</v>
      </c>
      <c r="AN31" s="7" t="s">
        <v>251</v>
      </c>
      <c r="AP31" s="7" t="s">
        <v>336</v>
      </c>
      <c r="AR31" s="14"/>
      <c r="AV31" s="7" t="s">
        <v>336</v>
      </c>
      <c r="AW31" s="7" t="s">
        <v>336</v>
      </c>
      <c r="AX31" s="7" t="s">
        <v>336</v>
      </c>
      <c r="BB31" s="7" t="s">
        <v>337</v>
      </c>
      <c r="BD31" s="7" t="s">
        <v>350</v>
      </c>
      <c r="BF31" s="7" t="s">
        <v>334</v>
      </c>
      <c r="BH31" s="14"/>
    </row>
    <row r="32" spans="1:61" ht="76.5" x14ac:dyDescent="0.2">
      <c r="A32" s="6" t="s">
        <v>11</v>
      </c>
      <c r="B32" s="7" t="s">
        <v>251</v>
      </c>
      <c r="C32" s="7" t="s">
        <v>331</v>
      </c>
      <c r="D32" s="7" t="s">
        <v>2777</v>
      </c>
      <c r="F32" s="7" t="s">
        <v>332</v>
      </c>
      <c r="H32" s="7" t="s">
        <v>333</v>
      </c>
      <c r="J32" s="7" t="s">
        <v>334</v>
      </c>
      <c r="M32" s="7" t="s">
        <v>334</v>
      </c>
      <c r="P32" s="7" t="s">
        <v>334</v>
      </c>
      <c r="R32" s="7" t="s">
        <v>2779</v>
      </c>
      <c r="T32" s="7" t="s">
        <v>251</v>
      </c>
      <c r="U32" s="14"/>
      <c r="V32" s="7" t="s">
        <v>334</v>
      </c>
      <c r="W32" s="14"/>
      <c r="X32" s="7" t="s">
        <v>334</v>
      </c>
      <c r="Y32" s="13"/>
      <c r="Z32" s="7" t="s">
        <v>251</v>
      </c>
      <c r="AA32" s="14"/>
      <c r="AB32" s="7" t="s">
        <v>334</v>
      </c>
      <c r="AD32" s="7" t="s">
        <v>2834</v>
      </c>
      <c r="AE32" s="13"/>
      <c r="AF32" s="14"/>
      <c r="AG32" s="7" t="s">
        <v>334</v>
      </c>
      <c r="AH32" s="14"/>
      <c r="AI32" s="7" t="s">
        <v>251</v>
      </c>
      <c r="AJ32" s="7" t="s">
        <v>334</v>
      </c>
      <c r="AL32" s="7" t="s">
        <v>251</v>
      </c>
      <c r="AM32" s="7" t="s">
        <v>335</v>
      </c>
      <c r="AN32" s="7" t="s">
        <v>251</v>
      </c>
      <c r="AP32" s="7" t="s">
        <v>336</v>
      </c>
      <c r="AR32" s="14"/>
      <c r="AS32" s="13"/>
      <c r="AV32" s="7" t="s">
        <v>336</v>
      </c>
      <c r="AW32" s="7" t="s">
        <v>336</v>
      </c>
      <c r="AX32" s="7" t="s">
        <v>336</v>
      </c>
      <c r="BB32" s="7" t="s">
        <v>337</v>
      </c>
      <c r="BD32" s="7" t="s">
        <v>338</v>
      </c>
      <c r="BF32" s="7" t="s">
        <v>251</v>
      </c>
      <c r="BG32" s="7" t="s">
        <v>334</v>
      </c>
      <c r="BH32" s="14"/>
      <c r="BI32" s="14">
        <v>2500</v>
      </c>
    </row>
    <row r="33" spans="1:61" ht="63.75" x14ac:dyDescent="0.2">
      <c r="A33" s="6" t="s">
        <v>50</v>
      </c>
      <c r="B33" s="7" t="s">
        <v>251</v>
      </c>
      <c r="C33" s="7" t="s">
        <v>331</v>
      </c>
      <c r="D33" s="7" t="s">
        <v>2777</v>
      </c>
      <c r="F33" s="7" t="s">
        <v>130</v>
      </c>
      <c r="G33" s="7">
        <v>20</v>
      </c>
      <c r="H33" s="7" t="s">
        <v>368</v>
      </c>
      <c r="J33" s="7" t="s">
        <v>334</v>
      </c>
      <c r="M33" s="7" t="s">
        <v>334</v>
      </c>
      <c r="P33" s="7" t="s">
        <v>334</v>
      </c>
      <c r="R33" s="7" t="s">
        <v>2813</v>
      </c>
      <c r="T33" s="7" t="s">
        <v>334</v>
      </c>
      <c r="U33" s="14"/>
      <c r="V33" s="7" t="s">
        <v>334</v>
      </c>
      <c r="W33" s="14"/>
      <c r="X33" s="7" t="s">
        <v>334</v>
      </c>
      <c r="Y33" s="13"/>
      <c r="Z33" s="7" t="s">
        <v>251</v>
      </c>
      <c r="AA33" s="14">
        <v>500</v>
      </c>
      <c r="AB33" s="7" t="s">
        <v>334</v>
      </c>
      <c r="AD33" s="7" t="s">
        <v>356</v>
      </c>
      <c r="AE33" s="13"/>
      <c r="AF33" s="14"/>
      <c r="AG33" s="7" t="s">
        <v>334</v>
      </c>
      <c r="AH33" s="14"/>
      <c r="AI33" s="7" t="s">
        <v>334</v>
      </c>
      <c r="AL33" s="7" t="s">
        <v>251</v>
      </c>
      <c r="AM33" s="7" t="s">
        <v>411</v>
      </c>
      <c r="AN33" s="7" t="s">
        <v>251</v>
      </c>
      <c r="AP33" s="7" t="s">
        <v>336</v>
      </c>
      <c r="AR33" s="14"/>
      <c r="AS33" s="13"/>
      <c r="AV33" s="7" t="s">
        <v>336</v>
      </c>
      <c r="AW33" s="7" t="s">
        <v>336</v>
      </c>
      <c r="AX33" s="7" t="s">
        <v>336</v>
      </c>
      <c r="BB33" s="7" t="s">
        <v>337</v>
      </c>
      <c r="BD33" s="7" t="s">
        <v>338</v>
      </c>
      <c r="BF33" s="7" t="s">
        <v>334</v>
      </c>
      <c r="BH33" s="14"/>
    </row>
    <row r="34" spans="1:61" ht="89.25" x14ac:dyDescent="0.2">
      <c r="A34" s="6" t="s">
        <v>71</v>
      </c>
      <c r="B34" s="7" t="s">
        <v>251</v>
      </c>
      <c r="C34" s="7" t="s">
        <v>331</v>
      </c>
      <c r="D34" s="7" t="s">
        <v>2777</v>
      </c>
      <c r="F34" s="7" t="s">
        <v>332</v>
      </c>
      <c r="H34" s="7" t="s">
        <v>333</v>
      </c>
      <c r="J34" s="7" t="s">
        <v>334</v>
      </c>
      <c r="M34" s="7" t="s">
        <v>334</v>
      </c>
      <c r="P34" s="7" t="s">
        <v>334</v>
      </c>
      <c r="R34" s="7" t="s">
        <v>2833</v>
      </c>
      <c r="T34" s="7" t="s">
        <v>251</v>
      </c>
      <c r="U34" s="14"/>
      <c r="V34" s="7" t="s">
        <v>334</v>
      </c>
      <c r="W34" s="14"/>
      <c r="X34" s="7" t="s">
        <v>334</v>
      </c>
      <c r="Y34" s="13"/>
      <c r="Z34" s="7" t="s">
        <v>251</v>
      </c>
      <c r="AA34" s="14">
        <v>500</v>
      </c>
      <c r="AB34" s="7" t="s">
        <v>334</v>
      </c>
      <c r="AD34" s="7" t="s">
        <v>2854</v>
      </c>
      <c r="AE34" s="13"/>
      <c r="AF34" s="14"/>
      <c r="AG34" s="7" t="s">
        <v>334</v>
      </c>
      <c r="AH34" s="14"/>
      <c r="AI34" s="7" t="s">
        <v>251</v>
      </c>
      <c r="AJ34" s="7" t="s">
        <v>251</v>
      </c>
      <c r="AL34" s="7" t="s">
        <v>251</v>
      </c>
      <c r="AM34" s="7" t="s">
        <v>436</v>
      </c>
      <c r="AN34" s="7" t="s">
        <v>251</v>
      </c>
      <c r="AP34" s="7" t="s">
        <v>336</v>
      </c>
      <c r="AR34" s="14"/>
      <c r="AV34" s="7" t="s">
        <v>336</v>
      </c>
      <c r="AW34" s="7" t="s">
        <v>336</v>
      </c>
      <c r="AX34" s="7" t="s">
        <v>336</v>
      </c>
      <c r="BB34" s="7" t="s">
        <v>343</v>
      </c>
      <c r="BD34" s="7" t="s">
        <v>344</v>
      </c>
      <c r="BF34" s="7" t="s">
        <v>251</v>
      </c>
      <c r="BG34" s="7" t="s">
        <v>334</v>
      </c>
      <c r="BH34" s="14"/>
      <c r="BI34" s="7" t="s">
        <v>437</v>
      </c>
    </row>
    <row r="35" spans="1:61" ht="114.75" x14ac:dyDescent="0.2">
      <c r="A35" s="6" t="s">
        <v>65</v>
      </c>
      <c r="B35" s="7" t="s">
        <v>251</v>
      </c>
      <c r="C35" s="7" t="s">
        <v>331</v>
      </c>
      <c r="D35" s="7" t="s">
        <v>2777</v>
      </c>
      <c r="F35" s="7" t="s">
        <v>332</v>
      </c>
      <c r="H35" s="7" t="s">
        <v>333</v>
      </c>
      <c r="J35" s="7" t="s">
        <v>334</v>
      </c>
      <c r="M35" s="7" t="s">
        <v>334</v>
      </c>
      <c r="P35" s="7" t="s">
        <v>334</v>
      </c>
      <c r="R35" s="7" t="s">
        <v>2827</v>
      </c>
      <c r="T35" s="7" t="s">
        <v>334</v>
      </c>
      <c r="U35" s="14"/>
      <c r="V35" s="7" t="s">
        <v>334</v>
      </c>
      <c r="W35" s="14"/>
      <c r="X35" s="7" t="s">
        <v>251</v>
      </c>
      <c r="Y35" s="13">
        <v>10</v>
      </c>
      <c r="Z35" s="7" t="s">
        <v>251</v>
      </c>
      <c r="AA35" s="14">
        <v>500</v>
      </c>
      <c r="AB35" s="7" t="s">
        <v>334</v>
      </c>
      <c r="AD35" s="7" t="s">
        <v>384</v>
      </c>
      <c r="AE35" s="13">
        <v>20</v>
      </c>
      <c r="AF35" s="14"/>
      <c r="AG35" s="7" t="s">
        <v>251</v>
      </c>
      <c r="AH35" s="14"/>
      <c r="AI35" s="7" t="s">
        <v>251</v>
      </c>
      <c r="AJ35" s="7" t="s">
        <v>130</v>
      </c>
      <c r="AK35" s="7" t="s">
        <v>430</v>
      </c>
      <c r="AL35" s="7" t="s">
        <v>251</v>
      </c>
      <c r="AM35" s="7" t="s">
        <v>431</v>
      </c>
      <c r="AN35" s="7" t="s">
        <v>251</v>
      </c>
      <c r="AP35" s="7" t="s">
        <v>336</v>
      </c>
      <c r="AR35" s="14"/>
      <c r="AV35" s="7" t="s">
        <v>336</v>
      </c>
      <c r="AW35" s="7" t="s">
        <v>336</v>
      </c>
      <c r="AX35" s="7" t="s">
        <v>336</v>
      </c>
      <c r="BB35" s="7" t="s">
        <v>337</v>
      </c>
      <c r="BD35" s="7" t="s">
        <v>350</v>
      </c>
      <c r="BF35" s="7" t="s">
        <v>334</v>
      </c>
      <c r="BH35" s="14"/>
    </row>
    <row r="36" spans="1:61" ht="89.25" x14ac:dyDescent="0.2">
      <c r="A36" s="6" t="s">
        <v>59</v>
      </c>
      <c r="B36" s="7" t="s">
        <v>251</v>
      </c>
      <c r="C36" s="7" t="s">
        <v>331</v>
      </c>
      <c r="D36" s="7" t="s">
        <v>2777</v>
      </c>
      <c r="F36" s="7" t="s">
        <v>333</v>
      </c>
      <c r="H36" s="7" t="s">
        <v>333</v>
      </c>
      <c r="J36" s="7" t="s">
        <v>334</v>
      </c>
      <c r="M36" s="7" t="s">
        <v>334</v>
      </c>
      <c r="P36" s="7" t="s">
        <v>334</v>
      </c>
      <c r="R36" s="7" t="s">
        <v>2821</v>
      </c>
      <c r="T36" s="7" t="s">
        <v>334</v>
      </c>
      <c r="U36" s="14"/>
      <c r="V36" s="7" t="s">
        <v>334</v>
      </c>
      <c r="W36" s="14"/>
      <c r="X36" s="7" t="s">
        <v>251</v>
      </c>
      <c r="Y36" s="13">
        <v>10</v>
      </c>
      <c r="Z36" s="7" t="s">
        <v>251</v>
      </c>
      <c r="AA36" s="14">
        <v>1000</v>
      </c>
      <c r="AB36" s="7" t="s">
        <v>334</v>
      </c>
      <c r="AD36" s="7" t="s">
        <v>2848</v>
      </c>
      <c r="AE36" s="13">
        <v>10</v>
      </c>
      <c r="AF36" s="14"/>
      <c r="AG36" s="7" t="s">
        <v>251</v>
      </c>
      <c r="AH36" s="14">
        <v>6</v>
      </c>
      <c r="AI36" s="7" t="s">
        <v>251</v>
      </c>
      <c r="AJ36" s="7" t="s">
        <v>251</v>
      </c>
      <c r="AL36" s="7" t="s">
        <v>251</v>
      </c>
      <c r="AM36" s="7" t="s">
        <v>423</v>
      </c>
      <c r="AN36" s="7" t="s">
        <v>251</v>
      </c>
      <c r="AP36" s="7" t="s">
        <v>336</v>
      </c>
      <c r="AR36" s="14"/>
      <c r="AS36" s="13"/>
      <c r="AV36" s="7" t="s">
        <v>336</v>
      </c>
      <c r="AW36" s="7" t="s">
        <v>336</v>
      </c>
      <c r="AX36" s="7" t="s">
        <v>336</v>
      </c>
      <c r="BB36" s="7" t="s">
        <v>337</v>
      </c>
      <c r="BD36" s="7" t="s">
        <v>344</v>
      </c>
      <c r="BF36" s="7" t="s">
        <v>334</v>
      </c>
      <c r="BH36" s="14"/>
    </row>
    <row r="37" spans="1:61" ht="63.75" x14ac:dyDescent="0.2">
      <c r="A37" s="6" t="s">
        <v>36</v>
      </c>
      <c r="B37" s="7" t="s">
        <v>251</v>
      </c>
      <c r="C37" s="7" t="s">
        <v>331</v>
      </c>
      <c r="D37" s="7" t="s">
        <v>2777</v>
      </c>
      <c r="F37" s="7" t="s">
        <v>332</v>
      </c>
      <c r="H37" s="7" t="s">
        <v>333</v>
      </c>
      <c r="J37" s="7" t="s">
        <v>334</v>
      </c>
      <c r="M37" s="7" t="s">
        <v>334</v>
      </c>
      <c r="P37" s="7" t="s">
        <v>334</v>
      </c>
      <c r="R37" s="7" t="s">
        <v>2801</v>
      </c>
      <c r="T37" s="7" t="s">
        <v>334</v>
      </c>
      <c r="U37" s="14"/>
      <c r="V37" s="7" t="s">
        <v>334</v>
      </c>
      <c r="W37" s="14"/>
      <c r="X37" s="7" t="s">
        <v>334</v>
      </c>
      <c r="Y37" s="13"/>
      <c r="Z37" s="7" t="s">
        <v>251</v>
      </c>
      <c r="AA37" s="14">
        <v>500</v>
      </c>
      <c r="AB37" s="7" t="s">
        <v>334</v>
      </c>
      <c r="AD37" s="7" t="s">
        <v>356</v>
      </c>
      <c r="AE37" s="13">
        <v>10</v>
      </c>
      <c r="AF37" s="14"/>
      <c r="AG37" s="7" t="s">
        <v>334</v>
      </c>
      <c r="AH37" s="14"/>
      <c r="AI37" s="7" t="s">
        <v>251</v>
      </c>
      <c r="AJ37" s="7" t="s">
        <v>334</v>
      </c>
      <c r="AL37" s="7" t="s">
        <v>251</v>
      </c>
      <c r="AM37" s="7" t="s">
        <v>391</v>
      </c>
      <c r="AN37" s="7" t="s">
        <v>251</v>
      </c>
      <c r="AP37" s="7" t="s">
        <v>336</v>
      </c>
      <c r="AR37" s="14"/>
      <c r="AS37" s="13"/>
      <c r="AV37" s="7" t="s">
        <v>336</v>
      </c>
      <c r="AW37" s="7" t="s">
        <v>336</v>
      </c>
      <c r="AX37" s="7" t="s">
        <v>336</v>
      </c>
      <c r="BB37" s="7" t="s">
        <v>337</v>
      </c>
      <c r="BD37" s="7" t="s">
        <v>338</v>
      </c>
      <c r="BF37" s="7" t="s">
        <v>345</v>
      </c>
      <c r="BH37" s="14"/>
    </row>
    <row r="38" spans="1:61" ht="76.5" x14ac:dyDescent="0.2">
      <c r="A38" s="6" t="s">
        <v>28</v>
      </c>
      <c r="B38" s="7" t="s">
        <v>251</v>
      </c>
      <c r="C38" s="7" t="s">
        <v>331</v>
      </c>
      <c r="D38" s="7" t="s">
        <v>2777</v>
      </c>
      <c r="F38" s="7" t="s">
        <v>332</v>
      </c>
      <c r="H38" s="7" t="s">
        <v>368</v>
      </c>
      <c r="J38" s="7" t="s">
        <v>334</v>
      </c>
      <c r="M38" s="7" t="s">
        <v>334</v>
      </c>
      <c r="P38" s="7" t="s">
        <v>334</v>
      </c>
      <c r="R38" s="7" t="s">
        <v>2794</v>
      </c>
      <c r="T38" s="7" t="s">
        <v>334</v>
      </c>
      <c r="U38" s="14"/>
      <c r="V38" s="7" t="s">
        <v>334</v>
      </c>
      <c r="W38" s="14"/>
      <c r="X38" s="7" t="s">
        <v>334</v>
      </c>
      <c r="Y38" s="13"/>
      <c r="Z38" s="7" t="s">
        <v>251</v>
      </c>
      <c r="AA38" s="14">
        <v>1000</v>
      </c>
      <c r="AB38" s="7" t="s">
        <v>334</v>
      </c>
      <c r="AD38" s="7" t="s">
        <v>369</v>
      </c>
      <c r="AE38" s="13">
        <v>7</v>
      </c>
      <c r="AF38" s="14">
        <v>25</v>
      </c>
      <c r="AG38" s="7" t="s">
        <v>334</v>
      </c>
      <c r="AH38" s="14"/>
      <c r="AI38" s="7" t="s">
        <v>251</v>
      </c>
      <c r="AJ38" s="7" t="s">
        <v>334</v>
      </c>
      <c r="AL38" s="7" t="s">
        <v>251</v>
      </c>
      <c r="AM38" s="7" t="s">
        <v>370</v>
      </c>
      <c r="AN38" s="7" t="s">
        <v>251</v>
      </c>
      <c r="AP38" s="7" t="s">
        <v>336</v>
      </c>
      <c r="AR38" s="14"/>
      <c r="AS38" s="13"/>
      <c r="AV38" s="7" t="s">
        <v>336</v>
      </c>
      <c r="AW38" s="7" t="s">
        <v>336</v>
      </c>
      <c r="AX38" s="7" t="s">
        <v>336</v>
      </c>
      <c r="BB38" s="7" t="s">
        <v>337</v>
      </c>
      <c r="BD38" s="7" t="s">
        <v>338</v>
      </c>
      <c r="BF38" s="7" t="s">
        <v>334</v>
      </c>
      <c r="BH38" s="14"/>
    </row>
    <row r="39" spans="1:61" ht="76.5" x14ac:dyDescent="0.2">
      <c r="A39" s="6" t="s">
        <v>52</v>
      </c>
      <c r="B39" s="7" t="s">
        <v>251</v>
      </c>
      <c r="C39" s="7" t="s">
        <v>331</v>
      </c>
      <c r="D39" s="7" t="s">
        <v>2777</v>
      </c>
      <c r="F39" s="7" t="s">
        <v>332</v>
      </c>
      <c r="H39" s="7" t="s">
        <v>333</v>
      </c>
      <c r="J39" s="7" t="s">
        <v>334</v>
      </c>
      <c r="M39" s="7" t="s">
        <v>334</v>
      </c>
      <c r="P39" s="7" t="s">
        <v>334</v>
      </c>
      <c r="R39" s="7" t="s">
        <v>2815</v>
      </c>
      <c r="T39" s="7" t="s">
        <v>334</v>
      </c>
      <c r="U39" s="14"/>
      <c r="V39" s="7" t="s">
        <v>334</v>
      </c>
      <c r="W39" s="14"/>
      <c r="X39" s="7" t="s">
        <v>334</v>
      </c>
      <c r="Y39" s="13"/>
      <c r="Z39" s="7" t="s">
        <v>251</v>
      </c>
      <c r="AA39" s="14">
        <v>1500</v>
      </c>
      <c r="AB39" s="7" t="s">
        <v>334</v>
      </c>
      <c r="AD39" s="7" t="s">
        <v>2838</v>
      </c>
      <c r="AE39" s="13"/>
      <c r="AF39" s="14"/>
      <c r="AG39" s="7" t="s">
        <v>334</v>
      </c>
      <c r="AH39" s="14"/>
      <c r="AI39" s="7" t="s">
        <v>334</v>
      </c>
      <c r="AJ39" s="7" t="s">
        <v>334</v>
      </c>
      <c r="AL39" s="7" t="s">
        <v>251</v>
      </c>
      <c r="AM39" s="7" t="s">
        <v>414</v>
      </c>
      <c r="AN39" s="7" t="s">
        <v>251</v>
      </c>
      <c r="AP39" s="7" t="s">
        <v>336</v>
      </c>
      <c r="AR39" s="14"/>
      <c r="AS39" s="13"/>
      <c r="AV39" s="7" t="s">
        <v>336</v>
      </c>
      <c r="AW39" s="7" t="s">
        <v>336</v>
      </c>
      <c r="AX39" s="7" t="s">
        <v>336</v>
      </c>
      <c r="BB39" s="7" t="s">
        <v>337</v>
      </c>
      <c r="BD39" s="7" t="s">
        <v>338</v>
      </c>
      <c r="BF39" s="7" t="s">
        <v>251</v>
      </c>
      <c r="BG39" s="7" t="s">
        <v>334</v>
      </c>
      <c r="BH39" s="14"/>
      <c r="BI39" s="7" t="s">
        <v>415</v>
      </c>
    </row>
    <row r="40" spans="1:61" ht="63.75" x14ac:dyDescent="0.2">
      <c r="A40" s="6" t="s">
        <v>19</v>
      </c>
      <c r="B40" s="7" t="s">
        <v>251</v>
      </c>
      <c r="C40" s="7" t="s">
        <v>331</v>
      </c>
      <c r="D40" s="7" t="s">
        <v>2777</v>
      </c>
      <c r="F40" s="7" t="s">
        <v>332</v>
      </c>
      <c r="H40" s="7" t="s">
        <v>333</v>
      </c>
      <c r="J40" s="7" t="s">
        <v>334</v>
      </c>
      <c r="M40" s="7" t="s">
        <v>334</v>
      </c>
      <c r="P40" s="7" t="s">
        <v>334</v>
      </c>
      <c r="R40" s="7" t="s">
        <v>2787</v>
      </c>
      <c r="T40" s="7" t="s">
        <v>251</v>
      </c>
      <c r="U40" s="14"/>
      <c r="V40" s="7" t="s">
        <v>334</v>
      </c>
      <c r="W40" s="14"/>
      <c r="X40" s="7" t="s">
        <v>251</v>
      </c>
      <c r="Y40" s="13">
        <v>20</v>
      </c>
      <c r="Z40" s="7" t="s">
        <v>251</v>
      </c>
      <c r="AA40" s="14">
        <v>500</v>
      </c>
      <c r="AB40" s="7" t="s">
        <v>334</v>
      </c>
      <c r="AD40" s="7" t="s">
        <v>356</v>
      </c>
      <c r="AE40" s="13">
        <v>10</v>
      </c>
      <c r="AF40" s="14"/>
      <c r="AG40" s="7" t="s">
        <v>334</v>
      </c>
      <c r="AH40" s="14"/>
      <c r="AI40" s="7" t="s">
        <v>251</v>
      </c>
      <c r="AJ40" s="7" t="s">
        <v>334</v>
      </c>
      <c r="AL40" s="7" t="s">
        <v>251</v>
      </c>
      <c r="AM40" s="7" t="s">
        <v>359</v>
      </c>
      <c r="AN40" s="7" t="s">
        <v>251</v>
      </c>
      <c r="AP40" s="7" t="s">
        <v>336</v>
      </c>
      <c r="AR40" s="14"/>
      <c r="AS40" s="13"/>
      <c r="AV40" s="7" t="s">
        <v>336</v>
      </c>
      <c r="AW40" s="7" t="s">
        <v>336</v>
      </c>
      <c r="AX40" s="7" t="s">
        <v>336</v>
      </c>
      <c r="BB40" s="7" t="s">
        <v>337</v>
      </c>
      <c r="BD40" s="7" t="s">
        <v>338</v>
      </c>
      <c r="BF40" s="7" t="s">
        <v>334</v>
      </c>
      <c r="BH40" s="14"/>
    </row>
    <row r="41" spans="1:61" ht="191.25" x14ac:dyDescent="0.2">
      <c r="A41" s="6" t="s">
        <v>51</v>
      </c>
      <c r="B41" s="7" t="s">
        <v>251</v>
      </c>
      <c r="C41" s="7" t="s">
        <v>331</v>
      </c>
      <c r="D41" s="7" t="s">
        <v>2777</v>
      </c>
      <c r="F41" s="7" t="s">
        <v>362</v>
      </c>
      <c r="H41" s="7" t="s">
        <v>333</v>
      </c>
      <c r="J41" s="7" t="s">
        <v>334</v>
      </c>
      <c r="M41" s="7" t="s">
        <v>334</v>
      </c>
      <c r="P41" s="7" t="s">
        <v>251</v>
      </c>
      <c r="Q41" s="7" t="s">
        <v>3360</v>
      </c>
      <c r="R41" s="7" t="s">
        <v>2814</v>
      </c>
      <c r="T41" s="7" t="s">
        <v>251</v>
      </c>
      <c r="U41" s="14">
        <v>200</v>
      </c>
      <c r="V41" s="7" t="s">
        <v>334</v>
      </c>
      <c r="W41" s="14"/>
      <c r="X41" s="7" t="s">
        <v>251</v>
      </c>
      <c r="Y41" s="13">
        <v>10</v>
      </c>
      <c r="Z41" s="7" t="s">
        <v>251</v>
      </c>
      <c r="AA41" s="14">
        <v>750</v>
      </c>
      <c r="AB41" s="7" t="s">
        <v>334</v>
      </c>
      <c r="AD41" s="7" t="s">
        <v>2850</v>
      </c>
      <c r="AE41" s="13">
        <v>10</v>
      </c>
      <c r="AF41" s="14"/>
      <c r="AG41" s="7" t="s">
        <v>251</v>
      </c>
      <c r="AH41" s="14">
        <v>7</v>
      </c>
      <c r="AI41" s="7" t="s">
        <v>251</v>
      </c>
      <c r="AJ41" s="7" t="s">
        <v>130</v>
      </c>
      <c r="AK41" s="7" t="s">
        <v>412</v>
      </c>
      <c r="AL41" s="7" t="s">
        <v>251</v>
      </c>
      <c r="AM41" s="7" t="s">
        <v>413</v>
      </c>
      <c r="AN41" s="7" t="s">
        <v>251</v>
      </c>
      <c r="AP41" s="7" t="s">
        <v>336</v>
      </c>
      <c r="AR41" s="14"/>
      <c r="AS41" s="13"/>
      <c r="AV41" s="7" t="s">
        <v>336</v>
      </c>
      <c r="AW41" s="7" t="s">
        <v>336</v>
      </c>
      <c r="AX41" s="7" t="s">
        <v>336</v>
      </c>
      <c r="BB41" s="7" t="s">
        <v>343</v>
      </c>
      <c r="BD41" s="7" t="s">
        <v>344</v>
      </c>
      <c r="BF41" s="7" t="s">
        <v>251</v>
      </c>
      <c r="BG41" s="7" t="s">
        <v>334</v>
      </c>
      <c r="BH41" s="14"/>
      <c r="BI41" s="7">
        <v>0</v>
      </c>
    </row>
    <row r="42" spans="1:61" ht="63.75" x14ac:dyDescent="0.2">
      <c r="A42" s="6" t="s">
        <v>47</v>
      </c>
      <c r="B42" s="7" t="s">
        <v>251</v>
      </c>
      <c r="C42" s="7" t="s">
        <v>331</v>
      </c>
      <c r="D42" s="7" t="s">
        <v>2777</v>
      </c>
      <c r="F42" s="7" t="s">
        <v>332</v>
      </c>
      <c r="H42" s="7" t="s">
        <v>333</v>
      </c>
      <c r="J42" s="7" t="s">
        <v>334</v>
      </c>
      <c r="M42" s="7" t="s">
        <v>334</v>
      </c>
      <c r="P42" s="7" t="s">
        <v>334</v>
      </c>
      <c r="R42" s="7" t="s">
        <v>2811</v>
      </c>
      <c r="T42" s="7" t="s">
        <v>251</v>
      </c>
      <c r="U42" s="14">
        <v>100</v>
      </c>
      <c r="V42" s="7" t="s">
        <v>334</v>
      </c>
      <c r="W42" s="14"/>
      <c r="X42" s="7" t="s">
        <v>334</v>
      </c>
      <c r="Y42" s="13"/>
      <c r="Z42" s="7" t="s">
        <v>251</v>
      </c>
      <c r="AA42" s="14">
        <v>500</v>
      </c>
      <c r="AB42" s="7" t="s">
        <v>334</v>
      </c>
      <c r="AE42" s="13"/>
      <c r="AF42" s="14"/>
      <c r="AH42" s="14"/>
      <c r="AL42" s="7" t="s">
        <v>251</v>
      </c>
      <c r="AM42" s="7" t="s">
        <v>351</v>
      </c>
      <c r="AN42" s="7" t="s">
        <v>251</v>
      </c>
      <c r="AP42" s="7" t="s">
        <v>336</v>
      </c>
      <c r="AR42" s="14"/>
      <c r="AS42" s="13"/>
      <c r="AV42" s="7" t="s">
        <v>336</v>
      </c>
      <c r="AW42" s="7" t="s">
        <v>336</v>
      </c>
      <c r="AX42" s="7" t="s">
        <v>336</v>
      </c>
      <c r="BB42" s="7" t="s">
        <v>337</v>
      </c>
      <c r="BD42" s="7" t="s">
        <v>338</v>
      </c>
      <c r="BF42" s="7" t="s">
        <v>334</v>
      </c>
      <c r="BH42" s="14"/>
    </row>
    <row r="43" spans="1:61" ht="89.25" x14ac:dyDescent="0.2">
      <c r="A43" s="6" t="s">
        <v>56</v>
      </c>
      <c r="B43" s="7" t="s">
        <v>251</v>
      </c>
      <c r="C43" s="7" t="s">
        <v>331</v>
      </c>
      <c r="D43" s="7" t="s">
        <v>2777</v>
      </c>
      <c r="F43" s="7" t="s">
        <v>332</v>
      </c>
      <c r="H43" s="7" t="s">
        <v>333</v>
      </c>
      <c r="J43" s="7" t="s">
        <v>334</v>
      </c>
      <c r="M43" s="7" t="s">
        <v>334</v>
      </c>
      <c r="P43" s="7" t="s">
        <v>334</v>
      </c>
      <c r="R43" s="7" t="s">
        <v>2818</v>
      </c>
      <c r="S43" s="7" t="s">
        <v>3352</v>
      </c>
      <c r="T43" s="7" t="s">
        <v>251</v>
      </c>
      <c r="U43" s="14"/>
      <c r="W43" s="14"/>
      <c r="X43" s="7" t="s">
        <v>251</v>
      </c>
      <c r="Y43" s="13">
        <v>10</v>
      </c>
      <c r="Z43" s="7" t="s">
        <v>251</v>
      </c>
      <c r="AA43" s="14">
        <v>5500</v>
      </c>
      <c r="AB43" s="7" t="s">
        <v>334</v>
      </c>
      <c r="AD43" s="7" t="s">
        <v>2852</v>
      </c>
      <c r="AE43" s="13"/>
      <c r="AF43" s="14"/>
      <c r="AG43" s="7" t="s">
        <v>334</v>
      </c>
      <c r="AH43" s="14"/>
      <c r="AI43" s="7" t="s">
        <v>251</v>
      </c>
      <c r="AJ43" s="7" t="s">
        <v>251</v>
      </c>
      <c r="AL43" s="7" t="s">
        <v>251</v>
      </c>
      <c r="AM43" s="7" t="s">
        <v>419</v>
      </c>
      <c r="AN43" s="7" t="s">
        <v>251</v>
      </c>
      <c r="AP43" s="7" t="s">
        <v>340</v>
      </c>
      <c r="AQ43" s="7" t="s">
        <v>396</v>
      </c>
      <c r="AR43" s="14">
        <v>10</v>
      </c>
      <c r="AS43" s="13"/>
      <c r="AV43" s="7" t="s">
        <v>340</v>
      </c>
      <c r="AW43" s="7" t="s">
        <v>340</v>
      </c>
      <c r="AX43" s="7" t="s">
        <v>340</v>
      </c>
      <c r="BA43" s="7" t="s">
        <v>396</v>
      </c>
      <c r="BB43" s="7" t="s">
        <v>343</v>
      </c>
      <c r="BD43" s="7" t="s">
        <v>344</v>
      </c>
      <c r="BF43" s="7" t="s">
        <v>251</v>
      </c>
      <c r="BG43" s="7" t="s">
        <v>334</v>
      </c>
      <c r="BH43" s="14"/>
      <c r="BI43" s="7" t="s">
        <v>420</v>
      </c>
    </row>
    <row r="44" spans="1:61" ht="76.5" x14ac:dyDescent="0.2">
      <c r="A44" s="6" t="s">
        <v>62</v>
      </c>
      <c r="B44" s="7" t="s">
        <v>251</v>
      </c>
      <c r="C44" s="7" t="s">
        <v>331</v>
      </c>
      <c r="D44" s="7" t="s">
        <v>2777</v>
      </c>
      <c r="F44" s="7" t="s">
        <v>425</v>
      </c>
      <c r="H44" s="7" t="s">
        <v>333</v>
      </c>
      <c r="J44" s="7" t="s">
        <v>334</v>
      </c>
      <c r="M44" s="7" t="s">
        <v>334</v>
      </c>
      <c r="P44" s="7" t="s">
        <v>334</v>
      </c>
      <c r="R44" s="7" t="s">
        <v>2824</v>
      </c>
      <c r="T44" s="7" t="s">
        <v>334</v>
      </c>
      <c r="U44" s="14"/>
      <c r="V44" s="7" t="s">
        <v>334</v>
      </c>
      <c r="W44" s="14"/>
      <c r="X44" s="7" t="s">
        <v>334</v>
      </c>
      <c r="Y44" s="13"/>
      <c r="Z44" s="7" t="s">
        <v>251</v>
      </c>
      <c r="AA44" s="14">
        <v>1000</v>
      </c>
      <c r="AB44" s="7" t="s">
        <v>334</v>
      </c>
      <c r="AD44" s="7" t="s">
        <v>2839</v>
      </c>
      <c r="AE44" s="13"/>
      <c r="AF44" s="14"/>
      <c r="AG44" s="7" t="s">
        <v>334</v>
      </c>
      <c r="AH44" s="14"/>
      <c r="AI44" s="7" t="s">
        <v>251</v>
      </c>
      <c r="AJ44" s="7" t="s">
        <v>251</v>
      </c>
      <c r="AL44" s="7" t="s">
        <v>251</v>
      </c>
      <c r="AM44" s="7">
        <v>450</v>
      </c>
      <c r="AN44" s="7" t="s">
        <v>251</v>
      </c>
      <c r="AP44" s="7" t="s">
        <v>336</v>
      </c>
      <c r="AR44" s="14"/>
      <c r="AS44" s="13"/>
      <c r="AV44" s="7" t="s">
        <v>336</v>
      </c>
      <c r="AW44" s="7" t="s">
        <v>336</v>
      </c>
      <c r="AX44" s="7" t="s">
        <v>336</v>
      </c>
      <c r="BB44" s="7" t="s">
        <v>337</v>
      </c>
      <c r="BD44" s="7" t="s">
        <v>350</v>
      </c>
      <c r="BF44" s="7" t="s">
        <v>334</v>
      </c>
      <c r="BH44" s="14"/>
    </row>
    <row r="45" spans="1:61" ht="76.5" x14ac:dyDescent="0.2">
      <c r="A45" s="6" t="s">
        <v>21</v>
      </c>
      <c r="B45" s="7" t="s">
        <v>251</v>
      </c>
      <c r="C45" s="7" t="s">
        <v>331</v>
      </c>
      <c r="D45" s="7" t="s">
        <v>2777</v>
      </c>
      <c r="F45" s="7" t="s">
        <v>362</v>
      </c>
      <c r="H45" s="7" t="s">
        <v>332</v>
      </c>
      <c r="J45" s="7" t="s">
        <v>334</v>
      </c>
      <c r="M45" s="7" t="s">
        <v>334</v>
      </c>
      <c r="P45" s="7" t="s">
        <v>334</v>
      </c>
      <c r="R45" s="7" t="s">
        <v>2789</v>
      </c>
      <c r="T45" s="7" t="s">
        <v>334</v>
      </c>
      <c r="U45" s="14"/>
      <c r="V45" s="7" t="s">
        <v>334</v>
      </c>
      <c r="W45" s="14"/>
      <c r="X45" s="7" t="s">
        <v>334</v>
      </c>
      <c r="Y45" s="13"/>
      <c r="Z45" s="7" t="s">
        <v>251</v>
      </c>
      <c r="AA45" s="14">
        <v>750</v>
      </c>
      <c r="AB45" s="7" t="s">
        <v>334</v>
      </c>
      <c r="AD45" s="7" t="s">
        <v>2841</v>
      </c>
      <c r="AE45" s="13"/>
      <c r="AF45" s="14">
        <v>8</v>
      </c>
      <c r="AG45" s="7" t="s">
        <v>334</v>
      </c>
      <c r="AH45" s="14"/>
      <c r="AI45" s="7" t="s">
        <v>251</v>
      </c>
      <c r="AJ45" s="7" t="s">
        <v>251</v>
      </c>
      <c r="AL45" s="7" t="s">
        <v>251</v>
      </c>
      <c r="AM45" s="7" t="s">
        <v>359</v>
      </c>
      <c r="AN45" s="7" t="s">
        <v>251</v>
      </c>
      <c r="AP45" s="7" t="s">
        <v>336</v>
      </c>
      <c r="AR45" s="14"/>
      <c r="AS45" s="13"/>
      <c r="AV45" s="7" t="s">
        <v>336</v>
      </c>
      <c r="AW45" s="7" t="s">
        <v>336</v>
      </c>
      <c r="AX45" s="7" t="s">
        <v>336</v>
      </c>
      <c r="BB45" s="7" t="s">
        <v>343</v>
      </c>
      <c r="BD45" s="7" t="s">
        <v>338</v>
      </c>
      <c r="BF45" s="7" t="s">
        <v>251</v>
      </c>
      <c r="BG45" s="7" t="s">
        <v>251</v>
      </c>
      <c r="BH45" s="14">
        <v>1200</v>
      </c>
    </row>
    <row r="46" spans="1:61" ht="76.5" x14ac:dyDescent="0.2">
      <c r="A46" s="6" t="s">
        <v>12</v>
      </c>
      <c r="B46" s="7" t="s">
        <v>251</v>
      </c>
      <c r="C46" s="7" t="s">
        <v>331</v>
      </c>
      <c r="D46" s="7" t="s">
        <v>2777</v>
      </c>
      <c r="F46" s="7" t="s">
        <v>332</v>
      </c>
      <c r="H46" s="7" t="s">
        <v>130</v>
      </c>
      <c r="I46" s="7">
        <v>26</v>
      </c>
      <c r="J46" s="7" t="s">
        <v>334</v>
      </c>
      <c r="M46" s="7" t="s">
        <v>334</v>
      </c>
      <c r="P46" s="7" t="s">
        <v>334</v>
      </c>
      <c r="R46" s="7" t="s">
        <v>2780</v>
      </c>
      <c r="T46" s="7" t="s">
        <v>334</v>
      </c>
      <c r="U46" s="14"/>
      <c r="V46" s="7" t="s">
        <v>334</v>
      </c>
      <c r="W46" s="14"/>
      <c r="X46" s="7" t="s">
        <v>334</v>
      </c>
      <c r="Y46" s="13"/>
      <c r="Z46" s="7" t="s">
        <v>251</v>
      </c>
      <c r="AA46" s="14">
        <v>500</v>
      </c>
      <c r="AB46" s="7" t="s">
        <v>334</v>
      </c>
      <c r="AD46" s="7" t="s">
        <v>2835</v>
      </c>
      <c r="AE46" s="13"/>
      <c r="AF46" s="14">
        <v>200</v>
      </c>
      <c r="AG46" s="7" t="s">
        <v>251</v>
      </c>
      <c r="AH46" s="14">
        <v>8</v>
      </c>
      <c r="AI46" s="7" t="s">
        <v>251</v>
      </c>
      <c r="AJ46" s="7" t="s">
        <v>251</v>
      </c>
      <c r="AL46" s="7" t="s">
        <v>251</v>
      </c>
      <c r="AM46" s="7" t="s">
        <v>339</v>
      </c>
      <c r="AN46" s="7" t="s">
        <v>251</v>
      </c>
      <c r="AP46" s="7" t="s">
        <v>340</v>
      </c>
      <c r="AQ46" s="7" t="s">
        <v>341</v>
      </c>
      <c r="AR46" s="14"/>
      <c r="AS46" s="13">
        <v>20</v>
      </c>
      <c r="AV46" s="7" t="s">
        <v>340</v>
      </c>
      <c r="AW46" s="7" t="s">
        <v>340</v>
      </c>
      <c r="AX46" s="7" t="s">
        <v>340</v>
      </c>
      <c r="BA46" s="7" t="s">
        <v>342</v>
      </c>
      <c r="BB46" s="7" t="s">
        <v>343</v>
      </c>
      <c r="BD46" s="7" t="s">
        <v>344</v>
      </c>
      <c r="BF46" s="7" t="s">
        <v>345</v>
      </c>
      <c r="BH46" s="14"/>
    </row>
    <row r="47" spans="1:61" ht="76.5" x14ac:dyDescent="0.2">
      <c r="A47" s="6" t="s">
        <v>64</v>
      </c>
      <c r="B47" s="7" t="s">
        <v>251</v>
      </c>
      <c r="C47" s="7" t="s">
        <v>331</v>
      </c>
      <c r="D47" s="7" t="s">
        <v>2777</v>
      </c>
      <c r="F47" s="7" t="s">
        <v>332</v>
      </c>
      <c r="H47" s="7" t="s">
        <v>333</v>
      </c>
      <c r="J47" s="7" t="s">
        <v>334</v>
      </c>
      <c r="M47" s="7" t="s">
        <v>334</v>
      </c>
      <c r="P47" s="7" t="s">
        <v>334</v>
      </c>
      <c r="R47" s="7" t="s">
        <v>2826</v>
      </c>
      <c r="T47" s="7" t="s">
        <v>334</v>
      </c>
      <c r="U47" s="14"/>
      <c r="V47" s="7" t="s">
        <v>334</v>
      </c>
      <c r="W47" s="14"/>
      <c r="X47" s="7" t="s">
        <v>251</v>
      </c>
      <c r="Y47" s="13">
        <v>20</v>
      </c>
      <c r="Z47" s="7" t="s">
        <v>251</v>
      </c>
      <c r="AA47" s="14">
        <v>500</v>
      </c>
      <c r="AB47" s="7" t="s">
        <v>334</v>
      </c>
      <c r="AD47" s="7" t="s">
        <v>356</v>
      </c>
      <c r="AE47" s="13">
        <v>20</v>
      </c>
      <c r="AF47" s="14"/>
      <c r="AG47" s="7" t="s">
        <v>334</v>
      </c>
      <c r="AH47" s="14"/>
      <c r="AI47" s="7" t="s">
        <v>334</v>
      </c>
      <c r="AJ47" s="7" t="s">
        <v>334</v>
      </c>
      <c r="AL47" s="7" t="s">
        <v>251</v>
      </c>
      <c r="AM47" s="7" t="s">
        <v>428</v>
      </c>
      <c r="AN47" s="7" t="s">
        <v>251</v>
      </c>
      <c r="AP47" s="7" t="s">
        <v>340</v>
      </c>
      <c r="AQ47" s="7" t="s">
        <v>341</v>
      </c>
      <c r="AR47" s="14"/>
      <c r="AS47" s="13">
        <v>15</v>
      </c>
      <c r="AV47" s="7" t="s">
        <v>340</v>
      </c>
      <c r="AW47" s="7" t="s">
        <v>340</v>
      </c>
      <c r="AX47" s="7" t="s">
        <v>340</v>
      </c>
      <c r="BA47" s="7" t="s">
        <v>429</v>
      </c>
      <c r="BB47" s="7" t="s">
        <v>337</v>
      </c>
      <c r="BD47" s="7" t="s">
        <v>338</v>
      </c>
      <c r="BF47" s="7" t="s">
        <v>334</v>
      </c>
      <c r="BH47" s="14"/>
    </row>
    <row r="48" spans="1:61" ht="76.5" x14ac:dyDescent="0.2">
      <c r="A48" s="6" t="s">
        <v>38</v>
      </c>
      <c r="B48" s="7" t="s">
        <v>251</v>
      </c>
      <c r="C48" s="7" t="s">
        <v>331</v>
      </c>
      <c r="D48" s="7" t="s">
        <v>2777</v>
      </c>
      <c r="F48" s="7" t="s">
        <v>130</v>
      </c>
      <c r="G48" s="7">
        <v>20</v>
      </c>
      <c r="H48" s="7" t="s">
        <v>333</v>
      </c>
      <c r="J48" s="7" t="s">
        <v>334</v>
      </c>
      <c r="M48" s="7" t="s">
        <v>251</v>
      </c>
      <c r="N48" s="7" t="s">
        <v>393</v>
      </c>
      <c r="P48" s="7" t="s">
        <v>251</v>
      </c>
      <c r="Q48" s="7" t="s">
        <v>394</v>
      </c>
      <c r="R48" s="7" t="s">
        <v>2803</v>
      </c>
      <c r="T48" s="7" t="s">
        <v>251</v>
      </c>
      <c r="U48" s="14">
        <v>0</v>
      </c>
      <c r="V48" s="7" t="s">
        <v>334</v>
      </c>
      <c r="W48" s="14"/>
      <c r="X48" s="7" t="s">
        <v>251</v>
      </c>
      <c r="Y48" s="13">
        <v>10</v>
      </c>
      <c r="Z48" s="7" t="s">
        <v>251</v>
      </c>
      <c r="AA48" s="14">
        <v>2000</v>
      </c>
      <c r="AB48" s="7" t="s">
        <v>334</v>
      </c>
      <c r="AE48" s="13"/>
      <c r="AF48" s="14"/>
      <c r="AH48" s="14"/>
      <c r="AL48" s="7" t="s">
        <v>251</v>
      </c>
      <c r="AM48" s="7" t="s">
        <v>395</v>
      </c>
      <c r="AN48" s="7" t="s">
        <v>251</v>
      </c>
      <c r="AP48" s="7" t="s">
        <v>340</v>
      </c>
      <c r="AQ48" s="7" t="s">
        <v>396</v>
      </c>
      <c r="AR48" s="15">
        <v>66.67</v>
      </c>
      <c r="AS48" s="13"/>
      <c r="AV48" s="7" t="s">
        <v>340</v>
      </c>
      <c r="AW48" s="7" t="s">
        <v>340</v>
      </c>
      <c r="AX48" s="7" t="s">
        <v>340</v>
      </c>
      <c r="BA48" s="7" t="s">
        <v>397</v>
      </c>
      <c r="BB48" s="7" t="s">
        <v>343</v>
      </c>
      <c r="BD48" s="7" t="s">
        <v>130</v>
      </c>
      <c r="BE48" s="7" t="s">
        <v>398</v>
      </c>
      <c r="BF48" s="7" t="s">
        <v>251</v>
      </c>
      <c r="BG48" s="7" t="s">
        <v>334</v>
      </c>
      <c r="BH48" s="14"/>
      <c r="BI48" s="7" t="s">
        <v>399</v>
      </c>
    </row>
    <row r="49" spans="1:61" ht="89.25" x14ac:dyDescent="0.2">
      <c r="A49" s="6" t="s">
        <v>41</v>
      </c>
      <c r="B49" s="7" t="s">
        <v>251</v>
      </c>
      <c r="C49" s="7" t="s">
        <v>331</v>
      </c>
      <c r="D49" s="7" t="s">
        <v>2777</v>
      </c>
      <c r="F49" s="7" t="s">
        <v>332</v>
      </c>
      <c r="H49" s="7" t="s">
        <v>333</v>
      </c>
      <c r="J49" s="7" t="s">
        <v>334</v>
      </c>
      <c r="M49" s="7" t="s">
        <v>334</v>
      </c>
      <c r="P49" s="7" t="s">
        <v>334</v>
      </c>
      <c r="R49" s="7" t="s">
        <v>2793</v>
      </c>
      <c r="T49" s="7" t="s">
        <v>251</v>
      </c>
      <c r="U49" s="14">
        <v>100</v>
      </c>
      <c r="V49" s="7" t="s">
        <v>334</v>
      </c>
      <c r="W49" s="14"/>
      <c r="X49" s="7" t="s">
        <v>251</v>
      </c>
      <c r="Y49" s="13">
        <v>10</v>
      </c>
      <c r="Z49" s="7" t="s">
        <v>251</v>
      </c>
      <c r="AA49" s="14">
        <v>500</v>
      </c>
      <c r="AB49" s="7" t="s">
        <v>334</v>
      </c>
      <c r="AD49" s="7" t="s">
        <v>2844</v>
      </c>
      <c r="AE49" s="13">
        <v>10</v>
      </c>
      <c r="AF49" s="14"/>
      <c r="AG49" s="7" t="s">
        <v>334</v>
      </c>
      <c r="AH49" s="14"/>
      <c r="AI49" s="7" t="s">
        <v>334</v>
      </c>
      <c r="AJ49" s="7" t="s">
        <v>251</v>
      </c>
      <c r="AL49" s="7" t="s">
        <v>251</v>
      </c>
      <c r="AM49" s="7" t="s">
        <v>359</v>
      </c>
      <c r="AN49" s="7" t="s">
        <v>251</v>
      </c>
      <c r="AP49" s="7" t="s">
        <v>336</v>
      </c>
      <c r="AR49" s="14"/>
      <c r="AS49" s="13"/>
      <c r="AV49" s="7" t="s">
        <v>340</v>
      </c>
      <c r="AW49" s="7" t="s">
        <v>340</v>
      </c>
      <c r="AX49" s="7" t="s">
        <v>340</v>
      </c>
      <c r="BA49" s="7" t="s">
        <v>402</v>
      </c>
      <c r="BB49" s="7" t="s">
        <v>337</v>
      </c>
      <c r="BD49" s="7" t="s">
        <v>338</v>
      </c>
      <c r="BF49" s="7" t="s">
        <v>251</v>
      </c>
      <c r="BG49" s="7" t="s">
        <v>251</v>
      </c>
      <c r="BH49" s="14">
        <v>750</v>
      </c>
    </row>
    <row r="50" spans="1:61" ht="89.25" x14ac:dyDescent="0.2">
      <c r="A50" s="6" t="s">
        <v>29</v>
      </c>
      <c r="B50" s="7" t="s">
        <v>251</v>
      </c>
      <c r="C50" s="7" t="s">
        <v>331</v>
      </c>
      <c r="D50" s="7" t="s">
        <v>2777</v>
      </c>
      <c r="F50" s="7" t="s">
        <v>332</v>
      </c>
      <c r="H50" s="7" t="s">
        <v>333</v>
      </c>
      <c r="J50" s="7" t="s">
        <v>371</v>
      </c>
      <c r="L50" s="7" t="s">
        <v>372</v>
      </c>
      <c r="M50" s="7" t="s">
        <v>334</v>
      </c>
      <c r="P50" s="7" t="s">
        <v>334</v>
      </c>
      <c r="R50" s="7" t="s">
        <v>2793</v>
      </c>
      <c r="T50" s="7" t="s">
        <v>251</v>
      </c>
      <c r="U50" s="14"/>
      <c r="V50" s="7" t="s">
        <v>334</v>
      </c>
      <c r="W50" s="14"/>
      <c r="X50" s="7" t="s">
        <v>251</v>
      </c>
      <c r="Y50" s="13">
        <v>20</v>
      </c>
      <c r="Z50" s="7" t="s">
        <v>251</v>
      </c>
      <c r="AA50" s="14">
        <v>1500</v>
      </c>
      <c r="AB50" s="7" t="s">
        <v>334</v>
      </c>
      <c r="AD50" s="7" t="s">
        <v>2844</v>
      </c>
      <c r="AE50" s="13"/>
      <c r="AF50" s="14"/>
      <c r="AG50" s="7" t="s">
        <v>334</v>
      </c>
      <c r="AH50" s="14"/>
      <c r="AI50" s="7" t="s">
        <v>251</v>
      </c>
      <c r="AJ50" s="7" t="s">
        <v>130</v>
      </c>
      <c r="AK50" s="7" t="s">
        <v>373</v>
      </c>
      <c r="AL50" s="7" t="s">
        <v>251</v>
      </c>
      <c r="AM50" s="7" t="s">
        <v>374</v>
      </c>
      <c r="AN50" s="7" t="s">
        <v>251</v>
      </c>
      <c r="AP50" s="7" t="s">
        <v>336</v>
      </c>
      <c r="AR50" s="14"/>
      <c r="AS50" s="13"/>
      <c r="AV50" s="7" t="s">
        <v>340</v>
      </c>
      <c r="AW50" s="7" t="s">
        <v>340</v>
      </c>
      <c r="AX50" s="7" t="s">
        <v>340</v>
      </c>
      <c r="BA50" s="10">
        <v>0.5</v>
      </c>
      <c r="BB50" s="7" t="s">
        <v>337</v>
      </c>
      <c r="BD50" s="7" t="s">
        <v>338</v>
      </c>
      <c r="BF50" s="7" t="s">
        <v>251</v>
      </c>
      <c r="BG50" s="7" t="s">
        <v>334</v>
      </c>
      <c r="BH50" s="14"/>
      <c r="BI50" s="7" t="s">
        <v>375</v>
      </c>
    </row>
    <row r="51" spans="1:61" ht="63.75" x14ac:dyDescent="0.2">
      <c r="A51" s="6" t="s">
        <v>17</v>
      </c>
      <c r="B51" s="7" t="s">
        <v>251</v>
      </c>
      <c r="C51" s="7" t="s">
        <v>331</v>
      </c>
      <c r="D51" s="7" t="s">
        <v>2777</v>
      </c>
      <c r="F51" s="7" t="s">
        <v>130</v>
      </c>
      <c r="G51" s="7">
        <v>26</v>
      </c>
      <c r="H51" s="7" t="s">
        <v>130</v>
      </c>
      <c r="I51" s="7">
        <v>26</v>
      </c>
      <c r="J51" s="7" t="s">
        <v>334</v>
      </c>
      <c r="M51" s="7" t="s">
        <v>334</v>
      </c>
      <c r="P51" s="7" t="s">
        <v>251</v>
      </c>
      <c r="Q51" s="7" t="s">
        <v>353</v>
      </c>
      <c r="R51" s="7" t="s">
        <v>2785</v>
      </c>
      <c r="T51" s="7" t="s">
        <v>251</v>
      </c>
      <c r="U51" s="14"/>
      <c r="V51" s="7" t="s">
        <v>251</v>
      </c>
      <c r="W51" s="14">
        <v>200</v>
      </c>
      <c r="X51" s="7" t="s">
        <v>251</v>
      </c>
      <c r="Y51" s="13"/>
      <c r="Z51" s="7" t="s">
        <v>251</v>
      </c>
      <c r="AA51" s="14">
        <v>500</v>
      </c>
      <c r="AB51" s="7" t="s">
        <v>334</v>
      </c>
      <c r="AD51" s="7" t="s">
        <v>2839</v>
      </c>
      <c r="AE51" s="13"/>
      <c r="AF51" s="14"/>
      <c r="AG51" s="7" t="s">
        <v>251</v>
      </c>
      <c r="AH51" s="14">
        <v>10</v>
      </c>
      <c r="AI51" s="7" t="s">
        <v>251</v>
      </c>
      <c r="AJ51" s="7" t="s">
        <v>251</v>
      </c>
      <c r="AN51" s="7" t="s">
        <v>251</v>
      </c>
      <c r="AP51" s="7" t="s">
        <v>340</v>
      </c>
      <c r="AQ51" s="7" t="s">
        <v>341</v>
      </c>
      <c r="AR51" s="14"/>
      <c r="AS51" s="13">
        <v>20</v>
      </c>
      <c r="AV51" s="7" t="s">
        <v>340</v>
      </c>
      <c r="AW51" s="7" t="s">
        <v>340</v>
      </c>
      <c r="AX51" s="7" t="s">
        <v>340</v>
      </c>
      <c r="BA51" s="7" t="s">
        <v>354</v>
      </c>
      <c r="BB51" s="7" t="s">
        <v>343</v>
      </c>
      <c r="BD51" s="7" t="s">
        <v>355</v>
      </c>
      <c r="BF51" s="7" t="s">
        <v>251</v>
      </c>
      <c r="BG51" s="7" t="s">
        <v>251</v>
      </c>
      <c r="BH51" s="14"/>
    </row>
    <row r="52" spans="1:61" ht="76.5" x14ac:dyDescent="0.2">
      <c r="A52" s="6" t="s">
        <v>22</v>
      </c>
      <c r="B52" s="7" t="s">
        <v>251</v>
      </c>
      <c r="C52" s="7" t="s">
        <v>331</v>
      </c>
      <c r="D52" s="7" t="s">
        <v>2777</v>
      </c>
      <c r="F52" s="7" t="s">
        <v>362</v>
      </c>
      <c r="H52" s="7" t="s">
        <v>332</v>
      </c>
      <c r="J52" s="7" t="s">
        <v>334</v>
      </c>
      <c r="M52" s="7" t="s">
        <v>334</v>
      </c>
      <c r="P52" s="7" t="s">
        <v>334</v>
      </c>
      <c r="R52" s="7" t="s">
        <v>2790</v>
      </c>
      <c r="T52" s="7" t="s">
        <v>251</v>
      </c>
      <c r="U52" s="14">
        <v>100</v>
      </c>
      <c r="V52" s="7" t="s">
        <v>334</v>
      </c>
      <c r="W52" s="14"/>
      <c r="X52" s="7" t="s">
        <v>334</v>
      </c>
      <c r="Y52" s="13"/>
      <c r="Z52" s="7" t="s">
        <v>251</v>
      </c>
      <c r="AA52" s="14">
        <v>1500</v>
      </c>
      <c r="AB52" s="7" t="s">
        <v>334</v>
      </c>
      <c r="AD52" s="7" t="s">
        <v>2842</v>
      </c>
      <c r="AE52" s="13"/>
      <c r="AF52" s="14"/>
      <c r="AG52" s="7" t="s">
        <v>334</v>
      </c>
      <c r="AH52" s="14"/>
      <c r="AI52" s="7" t="s">
        <v>334</v>
      </c>
      <c r="AJ52" s="7" t="s">
        <v>251</v>
      </c>
      <c r="AL52" s="7" t="s">
        <v>251</v>
      </c>
      <c r="AM52" s="7" t="s">
        <v>363</v>
      </c>
      <c r="AN52" s="7" t="s">
        <v>251</v>
      </c>
      <c r="AP52" s="7" t="s">
        <v>336</v>
      </c>
      <c r="AR52" s="14"/>
      <c r="AS52" s="13"/>
      <c r="AV52" s="7" t="s">
        <v>336</v>
      </c>
      <c r="AW52" s="7" t="s">
        <v>336</v>
      </c>
      <c r="AX52" s="7" t="s">
        <v>336</v>
      </c>
      <c r="BB52" s="7" t="s">
        <v>337</v>
      </c>
      <c r="BD52" s="7" t="s">
        <v>338</v>
      </c>
      <c r="BF52" s="7" t="s">
        <v>334</v>
      </c>
      <c r="BH52" s="14"/>
    </row>
    <row r="53" spans="1:61" ht="76.5" x14ac:dyDescent="0.2">
      <c r="A53" s="6" t="s">
        <v>53</v>
      </c>
      <c r="B53" s="7" t="s">
        <v>251</v>
      </c>
      <c r="C53" s="7" t="s">
        <v>331</v>
      </c>
      <c r="D53" s="7" t="s">
        <v>2777</v>
      </c>
      <c r="F53" s="7" t="s">
        <v>332</v>
      </c>
      <c r="H53" s="7" t="s">
        <v>333</v>
      </c>
      <c r="J53" s="7" t="s">
        <v>334</v>
      </c>
      <c r="M53" s="7" t="s">
        <v>334</v>
      </c>
      <c r="P53" s="7" t="s">
        <v>334</v>
      </c>
      <c r="R53" s="7" t="s">
        <v>2815</v>
      </c>
      <c r="T53" s="7" t="s">
        <v>251</v>
      </c>
      <c r="U53" s="14"/>
      <c r="V53" s="7" t="s">
        <v>334</v>
      </c>
      <c r="W53" s="14"/>
      <c r="X53" s="7" t="s">
        <v>251</v>
      </c>
      <c r="Y53" s="13">
        <v>20</v>
      </c>
      <c r="Z53" s="7" t="s">
        <v>251</v>
      </c>
      <c r="AA53" s="14">
        <v>750</v>
      </c>
      <c r="AB53" s="7" t="s">
        <v>334</v>
      </c>
      <c r="AD53" s="7" t="s">
        <v>2851</v>
      </c>
      <c r="AE53" s="13">
        <v>20</v>
      </c>
      <c r="AF53" s="14"/>
      <c r="AG53" s="7" t="s">
        <v>334</v>
      </c>
      <c r="AH53" s="14"/>
      <c r="AI53" s="7" t="s">
        <v>251</v>
      </c>
      <c r="AJ53" s="7" t="s">
        <v>251</v>
      </c>
      <c r="AL53" s="7" t="s">
        <v>251</v>
      </c>
      <c r="AM53" s="7" t="s">
        <v>416</v>
      </c>
      <c r="AN53" s="7" t="s">
        <v>251</v>
      </c>
      <c r="AP53" s="7" t="s">
        <v>336</v>
      </c>
      <c r="AR53" s="14"/>
      <c r="AS53" s="13"/>
      <c r="AV53" s="7" t="s">
        <v>336</v>
      </c>
      <c r="AW53" s="7" t="s">
        <v>336</v>
      </c>
      <c r="AX53" s="7" t="s">
        <v>336</v>
      </c>
      <c r="BB53" s="7" t="s">
        <v>337</v>
      </c>
      <c r="BD53" s="7" t="s">
        <v>338</v>
      </c>
      <c r="BF53" s="7" t="s">
        <v>334</v>
      </c>
      <c r="BH53" s="14"/>
    </row>
    <row r="54" spans="1:61" ht="89.25" x14ac:dyDescent="0.2">
      <c r="A54" s="6" t="s">
        <v>43</v>
      </c>
      <c r="B54" s="7" t="s">
        <v>251</v>
      </c>
      <c r="C54" s="7" t="s">
        <v>331</v>
      </c>
      <c r="D54" s="7" t="s">
        <v>2777</v>
      </c>
      <c r="F54" s="7" t="s">
        <v>332</v>
      </c>
      <c r="H54" s="7" t="s">
        <v>333</v>
      </c>
      <c r="J54" s="7" t="s">
        <v>334</v>
      </c>
      <c r="M54" s="7" t="s">
        <v>334</v>
      </c>
      <c r="P54" s="7" t="s">
        <v>334</v>
      </c>
      <c r="R54" s="7" t="s">
        <v>2807</v>
      </c>
      <c r="T54" s="7" t="s">
        <v>251</v>
      </c>
      <c r="U54" s="14"/>
      <c r="V54" s="7" t="s">
        <v>334</v>
      </c>
      <c r="W54" s="14"/>
      <c r="X54" s="7" t="s">
        <v>334</v>
      </c>
      <c r="Y54" s="13"/>
      <c r="Z54" s="7" t="s">
        <v>251</v>
      </c>
      <c r="AA54" s="14">
        <v>600</v>
      </c>
      <c r="AB54" s="7" t="s">
        <v>334</v>
      </c>
      <c r="AD54" s="7" t="s">
        <v>2848</v>
      </c>
      <c r="AE54" s="13">
        <v>10</v>
      </c>
      <c r="AF54" s="14"/>
      <c r="AG54" s="7" t="s">
        <v>334</v>
      </c>
      <c r="AH54" s="14"/>
      <c r="AI54" s="7" t="s">
        <v>251</v>
      </c>
      <c r="AJ54" s="7" t="s">
        <v>334</v>
      </c>
      <c r="AL54" s="7" t="s">
        <v>251</v>
      </c>
      <c r="AM54" s="7" t="s">
        <v>403</v>
      </c>
      <c r="AN54" s="7" t="s">
        <v>251</v>
      </c>
      <c r="AP54" s="7" t="s">
        <v>336</v>
      </c>
      <c r="AR54" s="14"/>
      <c r="AS54" s="13"/>
      <c r="AV54" s="7" t="s">
        <v>336</v>
      </c>
      <c r="AW54" s="7" t="s">
        <v>336</v>
      </c>
      <c r="AX54" s="7" t="s">
        <v>336</v>
      </c>
      <c r="BB54" s="7" t="s">
        <v>337</v>
      </c>
      <c r="BD54" s="7" t="s">
        <v>350</v>
      </c>
      <c r="BF54" s="7" t="s">
        <v>251</v>
      </c>
      <c r="BG54" s="7" t="s">
        <v>251</v>
      </c>
      <c r="BH54" s="14">
        <v>1000</v>
      </c>
    </row>
    <row r="55" spans="1:61" ht="38.25" x14ac:dyDescent="0.2">
      <c r="A55" s="6" t="s">
        <v>61</v>
      </c>
      <c r="B55" s="7" t="s">
        <v>251</v>
      </c>
      <c r="C55" s="7" t="s">
        <v>331</v>
      </c>
      <c r="D55" s="7" t="s">
        <v>2777</v>
      </c>
      <c r="F55" s="7" t="s">
        <v>332</v>
      </c>
      <c r="H55" s="7" t="s">
        <v>333</v>
      </c>
      <c r="J55" s="7" t="s">
        <v>334</v>
      </c>
      <c r="M55" s="7" t="s">
        <v>334</v>
      </c>
      <c r="P55" s="7" t="s">
        <v>334</v>
      </c>
      <c r="R55" s="7" t="s">
        <v>2823</v>
      </c>
      <c r="T55" s="7" t="s">
        <v>334</v>
      </c>
      <c r="U55" s="14"/>
      <c r="V55" s="7" t="s">
        <v>334</v>
      </c>
      <c r="W55" s="14"/>
      <c r="X55" s="7" t="s">
        <v>334</v>
      </c>
      <c r="Y55" s="13"/>
      <c r="Z55" s="7" t="s">
        <v>251</v>
      </c>
      <c r="AA55" s="14">
        <v>750</v>
      </c>
      <c r="AB55" s="7" t="s">
        <v>334</v>
      </c>
      <c r="AD55" s="7" t="s">
        <v>356</v>
      </c>
      <c r="AE55" s="13"/>
      <c r="AF55" s="14"/>
      <c r="AG55" s="7" t="s">
        <v>334</v>
      </c>
      <c r="AH55" s="14"/>
      <c r="AI55" s="7" t="s">
        <v>251</v>
      </c>
      <c r="AJ55" s="7" t="s">
        <v>251</v>
      </c>
      <c r="AN55" s="7" t="s">
        <v>251</v>
      </c>
      <c r="AP55" s="7" t="s">
        <v>336</v>
      </c>
      <c r="AR55" s="14"/>
      <c r="AS55" s="13"/>
      <c r="AV55" s="7" t="s">
        <v>336</v>
      </c>
      <c r="AW55" s="7" t="s">
        <v>336</v>
      </c>
      <c r="AX55" s="7" t="s">
        <v>336</v>
      </c>
      <c r="BB55" s="7" t="s">
        <v>337</v>
      </c>
      <c r="BD55" s="7" t="s">
        <v>338</v>
      </c>
      <c r="BF55" s="7" t="s">
        <v>334</v>
      </c>
      <c r="BH55" s="14"/>
    </row>
    <row r="56" spans="1:61" ht="76.5" x14ac:dyDescent="0.2">
      <c r="A56" s="6" t="s">
        <v>72</v>
      </c>
      <c r="B56" s="7" t="s">
        <v>251</v>
      </c>
      <c r="C56" s="7" t="s">
        <v>331</v>
      </c>
      <c r="D56" s="7" t="s">
        <v>2777</v>
      </c>
      <c r="F56" s="7" t="s">
        <v>332</v>
      </c>
      <c r="H56" s="7" t="s">
        <v>333</v>
      </c>
      <c r="J56" s="7" t="s">
        <v>334</v>
      </c>
      <c r="M56" s="7" t="s">
        <v>334</v>
      </c>
      <c r="P56" s="7" t="s">
        <v>334</v>
      </c>
      <c r="R56" s="7" t="s">
        <v>2797</v>
      </c>
      <c r="T56" s="7" t="s">
        <v>251</v>
      </c>
      <c r="U56" s="14">
        <v>0</v>
      </c>
      <c r="V56" s="7" t="s">
        <v>334</v>
      </c>
      <c r="W56" s="14"/>
      <c r="X56" s="7" t="s">
        <v>251</v>
      </c>
      <c r="Y56" s="13">
        <v>10</v>
      </c>
      <c r="Z56" s="7" t="s">
        <v>251</v>
      </c>
      <c r="AA56" s="14">
        <v>750</v>
      </c>
      <c r="AB56" s="7" t="s">
        <v>334</v>
      </c>
      <c r="AD56" s="7" t="s">
        <v>2851</v>
      </c>
      <c r="AE56" s="13">
        <v>10</v>
      </c>
      <c r="AF56" s="14"/>
      <c r="AG56" s="7" t="s">
        <v>334</v>
      </c>
      <c r="AH56" s="14"/>
      <c r="AI56" s="7" t="s">
        <v>251</v>
      </c>
      <c r="AJ56" s="7" t="s">
        <v>334</v>
      </c>
      <c r="AL56" s="7" t="s">
        <v>251</v>
      </c>
      <c r="AM56" s="7" t="s">
        <v>431</v>
      </c>
      <c r="AN56" s="7" t="s">
        <v>251</v>
      </c>
      <c r="AP56" s="7" t="s">
        <v>336</v>
      </c>
      <c r="AR56" s="14"/>
      <c r="AV56" s="7" t="s">
        <v>336</v>
      </c>
      <c r="AW56" s="7" t="s">
        <v>336</v>
      </c>
      <c r="AX56" s="7" t="s">
        <v>336</v>
      </c>
      <c r="BB56" s="7" t="s">
        <v>337</v>
      </c>
      <c r="BD56" s="7" t="s">
        <v>350</v>
      </c>
      <c r="BF56" s="7" t="s">
        <v>251</v>
      </c>
      <c r="BG56" s="7" t="s">
        <v>251</v>
      </c>
      <c r="BH56" s="14">
        <v>300</v>
      </c>
    </row>
    <row r="57" spans="1:61" ht="63.75" x14ac:dyDescent="0.2">
      <c r="A57" s="6" t="s">
        <v>16</v>
      </c>
      <c r="B57" s="7" t="s">
        <v>251</v>
      </c>
      <c r="C57" s="7" t="s">
        <v>331</v>
      </c>
      <c r="D57" s="7" t="s">
        <v>2777</v>
      </c>
      <c r="F57" s="7" t="s">
        <v>332</v>
      </c>
      <c r="H57" s="7" t="s">
        <v>333</v>
      </c>
      <c r="J57" s="7" t="s">
        <v>334</v>
      </c>
      <c r="M57" s="7" t="s">
        <v>334</v>
      </c>
      <c r="P57" s="7" t="s">
        <v>334</v>
      </c>
      <c r="R57" s="7" t="s">
        <v>2784</v>
      </c>
      <c r="T57" s="7" t="s">
        <v>334</v>
      </c>
      <c r="U57" s="14"/>
      <c r="V57" s="7" t="s">
        <v>334</v>
      </c>
      <c r="W57" s="14"/>
      <c r="X57" s="7" t="s">
        <v>334</v>
      </c>
      <c r="Y57" s="13"/>
      <c r="Z57" s="7" t="s">
        <v>251</v>
      </c>
      <c r="AA57" s="14">
        <v>2500</v>
      </c>
      <c r="AB57" s="7" t="s">
        <v>334</v>
      </c>
      <c r="AD57" s="7" t="s">
        <v>2838</v>
      </c>
      <c r="AE57" s="13"/>
      <c r="AF57" s="14"/>
      <c r="AG57" s="7" t="s">
        <v>251</v>
      </c>
      <c r="AH57" s="14">
        <v>12</v>
      </c>
      <c r="AI57" s="7" t="s">
        <v>251</v>
      </c>
      <c r="AJ57" s="7" t="s">
        <v>251</v>
      </c>
      <c r="AL57" s="7" t="s">
        <v>251</v>
      </c>
      <c r="AM57" s="7" t="s">
        <v>352</v>
      </c>
      <c r="AN57" s="7" t="s">
        <v>251</v>
      </c>
      <c r="AP57" s="7" t="s">
        <v>336</v>
      </c>
      <c r="AR57" s="14"/>
      <c r="AS57" s="13"/>
      <c r="AV57" s="7" t="s">
        <v>336</v>
      </c>
      <c r="AW57" s="7" t="s">
        <v>336</v>
      </c>
      <c r="AX57" s="7" t="s">
        <v>336</v>
      </c>
      <c r="BB57" s="7" t="s">
        <v>343</v>
      </c>
      <c r="BD57" s="7" t="s">
        <v>350</v>
      </c>
      <c r="BF57" s="7" t="s">
        <v>334</v>
      </c>
      <c r="BH57" s="14"/>
    </row>
    <row r="58" spans="1:61" ht="76.5" x14ac:dyDescent="0.2">
      <c r="A58" s="6" t="s">
        <v>32</v>
      </c>
      <c r="B58" s="7" t="s">
        <v>251</v>
      </c>
      <c r="C58" s="7" t="s">
        <v>331</v>
      </c>
      <c r="D58" s="7" t="s">
        <v>2777</v>
      </c>
      <c r="F58" s="7" t="s">
        <v>332</v>
      </c>
      <c r="H58" s="7" t="s">
        <v>130</v>
      </c>
      <c r="I58" s="7">
        <v>26</v>
      </c>
      <c r="J58" s="7" t="s">
        <v>334</v>
      </c>
      <c r="M58" s="7" t="s">
        <v>334</v>
      </c>
      <c r="P58" s="7" t="s">
        <v>334</v>
      </c>
      <c r="R58" s="7" t="s">
        <v>2797</v>
      </c>
      <c r="T58" s="7" t="s">
        <v>251</v>
      </c>
      <c r="U58" s="14">
        <v>100</v>
      </c>
      <c r="V58" s="7" t="s">
        <v>334</v>
      </c>
      <c r="W58" s="14"/>
      <c r="X58" s="7" t="s">
        <v>334</v>
      </c>
      <c r="Y58" s="13"/>
      <c r="Z58" s="7" t="s">
        <v>251</v>
      </c>
      <c r="AA58" s="14">
        <v>400</v>
      </c>
      <c r="AB58" s="7" t="s">
        <v>334</v>
      </c>
      <c r="AD58" s="7" t="s">
        <v>384</v>
      </c>
      <c r="AE58" s="13"/>
      <c r="AF58" s="14">
        <v>25</v>
      </c>
      <c r="AG58" s="7" t="s">
        <v>334</v>
      </c>
      <c r="AH58" s="14"/>
      <c r="AI58" s="7" t="s">
        <v>251</v>
      </c>
      <c r="AJ58" s="7" t="s">
        <v>251</v>
      </c>
      <c r="AL58" s="7" t="s">
        <v>251</v>
      </c>
      <c r="AM58" s="7" t="s">
        <v>385</v>
      </c>
      <c r="AN58" s="7" t="s">
        <v>251</v>
      </c>
      <c r="AP58" s="7" t="s">
        <v>336</v>
      </c>
      <c r="AR58" s="14"/>
      <c r="AS58" s="13"/>
      <c r="AV58" s="7" t="s">
        <v>336</v>
      </c>
      <c r="AW58" s="7" t="s">
        <v>336</v>
      </c>
      <c r="AX58" s="7" t="s">
        <v>336</v>
      </c>
      <c r="BB58" s="7" t="s">
        <v>337</v>
      </c>
      <c r="BD58" s="7" t="s">
        <v>386</v>
      </c>
      <c r="BF58" s="7" t="s">
        <v>334</v>
      </c>
      <c r="BH58" s="14"/>
    </row>
    <row r="59" spans="1:61" ht="63.75" x14ac:dyDescent="0.2">
      <c r="A59" s="6" t="s">
        <v>60</v>
      </c>
      <c r="B59" s="7" t="s">
        <v>251</v>
      </c>
      <c r="C59" s="7" t="s">
        <v>331</v>
      </c>
      <c r="D59" s="7" t="s">
        <v>2777</v>
      </c>
      <c r="F59" s="7" t="s">
        <v>332</v>
      </c>
      <c r="H59" s="7" t="s">
        <v>333</v>
      </c>
      <c r="J59" s="7" t="s">
        <v>334</v>
      </c>
      <c r="M59" s="7" t="s">
        <v>334</v>
      </c>
      <c r="P59" s="7" t="s">
        <v>334</v>
      </c>
      <c r="R59" s="7" t="s">
        <v>2822</v>
      </c>
      <c r="T59" s="7" t="s">
        <v>251</v>
      </c>
      <c r="U59" s="14"/>
      <c r="V59" s="7" t="s">
        <v>334</v>
      </c>
      <c r="W59" s="14"/>
      <c r="X59" s="7" t="s">
        <v>334</v>
      </c>
      <c r="Y59" s="13"/>
      <c r="Z59" s="7" t="s">
        <v>251</v>
      </c>
      <c r="AA59" s="14">
        <v>500</v>
      </c>
      <c r="AB59" s="7" t="s">
        <v>334</v>
      </c>
      <c r="AD59" s="7" t="s">
        <v>2847</v>
      </c>
      <c r="AE59" s="13"/>
      <c r="AF59" s="14"/>
      <c r="AG59" s="7" t="s">
        <v>334</v>
      </c>
      <c r="AH59" s="14"/>
      <c r="AI59" s="7" t="s">
        <v>251</v>
      </c>
      <c r="AJ59" s="7" t="s">
        <v>251</v>
      </c>
      <c r="AL59" s="7" t="s">
        <v>251</v>
      </c>
      <c r="AM59" s="7" t="s">
        <v>424</v>
      </c>
      <c r="AN59" s="7" t="s">
        <v>251</v>
      </c>
      <c r="AP59" s="7" t="s">
        <v>336</v>
      </c>
      <c r="AR59" s="14"/>
      <c r="AS59" s="13"/>
      <c r="AV59" s="7" t="s">
        <v>336</v>
      </c>
      <c r="AW59" s="7" t="s">
        <v>336</v>
      </c>
      <c r="AX59" s="7" t="s">
        <v>336</v>
      </c>
      <c r="BB59" s="7" t="s">
        <v>337</v>
      </c>
      <c r="BD59" s="7" t="s">
        <v>338</v>
      </c>
      <c r="BF59" s="7" t="s">
        <v>334</v>
      </c>
      <c r="BH59" s="14"/>
    </row>
    <row r="60" spans="1:61" ht="63.75" x14ac:dyDescent="0.2">
      <c r="A60" s="6" t="s">
        <v>39</v>
      </c>
      <c r="B60" s="7" t="s">
        <v>251</v>
      </c>
      <c r="C60" s="7" t="s">
        <v>331</v>
      </c>
      <c r="D60" s="7" t="s">
        <v>2777</v>
      </c>
      <c r="F60" s="7" t="s">
        <v>333</v>
      </c>
      <c r="H60" s="7" t="s">
        <v>333</v>
      </c>
      <c r="J60" s="7" t="s">
        <v>334</v>
      </c>
      <c r="M60" s="7" t="s">
        <v>334</v>
      </c>
      <c r="P60" s="7" t="s">
        <v>334</v>
      </c>
      <c r="R60" s="7" t="s">
        <v>2804</v>
      </c>
      <c r="T60" s="7" t="s">
        <v>251</v>
      </c>
      <c r="U60" s="14">
        <v>0</v>
      </c>
      <c r="V60" s="7" t="s">
        <v>334</v>
      </c>
      <c r="W60" s="14"/>
      <c r="X60" s="7" t="s">
        <v>334</v>
      </c>
      <c r="Y60" s="13"/>
      <c r="Z60" s="7" t="s">
        <v>251</v>
      </c>
      <c r="AA60" s="14">
        <v>1000</v>
      </c>
      <c r="AB60" s="7" t="s">
        <v>334</v>
      </c>
      <c r="AD60" s="7" t="s">
        <v>2836</v>
      </c>
      <c r="AE60" s="13">
        <v>10</v>
      </c>
      <c r="AF60" s="14"/>
      <c r="AG60" s="7" t="s">
        <v>334</v>
      </c>
      <c r="AH60" s="14"/>
      <c r="AI60" s="7" t="s">
        <v>251</v>
      </c>
      <c r="AJ60" s="7" t="s">
        <v>334</v>
      </c>
      <c r="AL60" s="7" t="s">
        <v>251</v>
      </c>
      <c r="AM60" s="7" t="s">
        <v>400</v>
      </c>
      <c r="AN60" s="7" t="s">
        <v>251</v>
      </c>
      <c r="AP60" s="7" t="s">
        <v>336</v>
      </c>
      <c r="AR60" s="14"/>
      <c r="AS60" s="13"/>
      <c r="AV60" s="7" t="s">
        <v>336</v>
      </c>
      <c r="AW60" s="7" t="s">
        <v>336</v>
      </c>
      <c r="AX60" s="7" t="s">
        <v>336</v>
      </c>
      <c r="BB60" s="7" t="s">
        <v>337</v>
      </c>
      <c r="BD60" s="7" t="s">
        <v>130</v>
      </c>
      <c r="BE60" s="7" t="s">
        <v>348</v>
      </c>
      <c r="BF60" s="7" t="s">
        <v>334</v>
      </c>
      <c r="BH60" s="14"/>
    </row>
    <row r="61" spans="1:61" ht="89.25" x14ac:dyDescent="0.2">
      <c r="A61" s="6" t="s">
        <v>40</v>
      </c>
      <c r="B61" s="7" t="s">
        <v>251</v>
      </c>
      <c r="C61" s="7" t="s">
        <v>331</v>
      </c>
      <c r="D61" s="7" t="s">
        <v>2777</v>
      </c>
      <c r="F61" s="7" t="s">
        <v>332</v>
      </c>
      <c r="H61" s="7" t="s">
        <v>333</v>
      </c>
      <c r="J61" s="7" t="s">
        <v>334</v>
      </c>
      <c r="P61" s="7" t="s">
        <v>334</v>
      </c>
      <c r="R61" s="7" t="s">
        <v>2805</v>
      </c>
      <c r="T61" s="7" t="s">
        <v>251</v>
      </c>
      <c r="U61" s="14"/>
      <c r="V61" s="7" t="s">
        <v>334</v>
      </c>
      <c r="W61" s="14"/>
      <c r="X61" s="7" t="s">
        <v>334</v>
      </c>
      <c r="Y61" s="13"/>
      <c r="Z61" s="7" t="s">
        <v>251</v>
      </c>
      <c r="AA61" s="14">
        <v>750</v>
      </c>
      <c r="AB61" s="7" t="s">
        <v>334</v>
      </c>
      <c r="AE61" s="13">
        <v>20</v>
      </c>
      <c r="AF61" s="14"/>
      <c r="AG61" s="7" t="s">
        <v>251</v>
      </c>
      <c r="AH61" s="14">
        <v>8</v>
      </c>
      <c r="AI61" s="7" t="s">
        <v>251</v>
      </c>
      <c r="AJ61" s="7" t="s">
        <v>251</v>
      </c>
      <c r="AL61" s="7" t="s">
        <v>251</v>
      </c>
      <c r="AM61" s="7" t="s">
        <v>401</v>
      </c>
      <c r="AN61" s="7" t="s">
        <v>251</v>
      </c>
      <c r="AP61" s="7" t="s">
        <v>336</v>
      </c>
      <c r="AR61" s="14"/>
      <c r="AS61" s="13"/>
      <c r="AV61" s="7" t="s">
        <v>336</v>
      </c>
      <c r="AW61" s="7" t="s">
        <v>336</v>
      </c>
      <c r="AX61" s="7" t="s">
        <v>336</v>
      </c>
      <c r="BB61" s="7" t="s">
        <v>343</v>
      </c>
      <c r="BD61" s="7" t="s">
        <v>338</v>
      </c>
      <c r="BF61" s="7" t="s">
        <v>334</v>
      </c>
      <c r="BH61" s="14"/>
    </row>
    <row r="62" spans="1:61" ht="25.5" x14ac:dyDescent="0.2">
      <c r="A62" s="6" t="s">
        <v>44</v>
      </c>
      <c r="B62" s="7" t="s">
        <v>251</v>
      </c>
      <c r="C62" s="7" t="s">
        <v>404</v>
      </c>
      <c r="J62" s="7" t="s">
        <v>334</v>
      </c>
      <c r="M62" s="7" t="s">
        <v>334</v>
      </c>
      <c r="P62" s="7" t="s">
        <v>334</v>
      </c>
      <c r="R62" s="7" t="s">
        <v>2808</v>
      </c>
      <c r="T62" s="7" t="s">
        <v>334</v>
      </c>
      <c r="U62" s="14"/>
      <c r="V62" s="7" t="s">
        <v>334</v>
      </c>
      <c r="W62" s="14"/>
      <c r="X62" s="7" t="s">
        <v>334</v>
      </c>
      <c r="Y62" s="13"/>
      <c r="Z62" s="7" t="s">
        <v>251</v>
      </c>
      <c r="AA62" s="14">
        <v>1000</v>
      </c>
      <c r="AB62" s="7" t="s">
        <v>334</v>
      </c>
      <c r="AE62" s="13"/>
      <c r="AF62" s="14"/>
      <c r="AH62" s="14"/>
      <c r="AP62" s="7" t="s">
        <v>340</v>
      </c>
      <c r="AQ62" s="7" t="s">
        <v>380</v>
      </c>
      <c r="AR62" s="14"/>
      <c r="AS62" s="13"/>
      <c r="AU62" s="7" t="s">
        <v>405</v>
      </c>
      <c r="BB62" s="7" t="s">
        <v>343</v>
      </c>
      <c r="BD62" s="7" t="s">
        <v>344</v>
      </c>
      <c r="BF62" s="7" t="s">
        <v>251</v>
      </c>
      <c r="BG62" s="7" t="s">
        <v>334</v>
      </c>
      <c r="BH62" s="14"/>
      <c r="BI62" s="7" t="s">
        <v>406</v>
      </c>
    </row>
    <row r="63" spans="1:61" ht="63.75" x14ac:dyDescent="0.2">
      <c r="A63" s="6" t="s">
        <v>58</v>
      </c>
      <c r="B63" s="7" t="s">
        <v>251</v>
      </c>
      <c r="C63" s="7" t="s">
        <v>331</v>
      </c>
      <c r="D63" s="7" t="s">
        <v>2777</v>
      </c>
      <c r="F63" s="7" t="s">
        <v>332</v>
      </c>
      <c r="H63" s="7" t="s">
        <v>130</v>
      </c>
      <c r="I63" s="7">
        <v>26</v>
      </c>
      <c r="J63" s="7" t="s">
        <v>334</v>
      </c>
      <c r="M63" s="7" t="s">
        <v>334</v>
      </c>
      <c r="P63" s="7" t="s">
        <v>334</v>
      </c>
      <c r="R63" s="7" t="s">
        <v>2820</v>
      </c>
      <c r="T63" s="7" t="s">
        <v>334</v>
      </c>
      <c r="U63" s="14"/>
      <c r="V63" s="7" t="s">
        <v>334</v>
      </c>
      <c r="W63" s="14"/>
      <c r="X63" s="7" t="s">
        <v>334</v>
      </c>
      <c r="Y63" s="13"/>
      <c r="Z63" s="7" t="s">
        <v>251</v>
      </c>
      <c r="AA63" s="14">
        <v>500</v>
      </c>
      <c r="AB63" s="7" t="s">
        <v>334</v>
      </c>
      <c r="AD63" s="7" t="s">
        <v>356</v>
      </c>
      <c r="AE63" s="13"/>
      <c r="AF63" s="14"/>
      <c r="AG63" s="7" t="s">
        <v>334</v>
      </c>
      <c r="AH63" s="14"/>
      <c r="AI63" s="7" t="s">
        <v>251</v>
      </c>
      <c r="AJ63" s="7" t="s">
        <v>334</v>
      </c>
      <c r="AL63" s="7" t="s">
        <v>251</v>
      </c>
      <c r="AM63" s="7" t="s">
        <v>359</v>
      </c>
      <c r="AN63" s="7" t="s">
        <v>251</v>
      </c>
      <c r="AP63" s="7" t="s">
        <v>340</v>
      </c>
      <c r="AQ63" s="7" t="s">
        <v>396</v>
      </c>
      <c r="AR63" s="15">
        <v>13.57</v>
      </c>
      <c r="AS63" s="13"/>
      <c r="AV63" s="7" t="s">
        <v>340</v>
      </c>
      <c r="AW63" s="7" t="s">
        <v>340</v>
      </c>
      <c r="AX63" s="7" t="s">
        <v>340</v>
      </c>
      <c r="BA63" s="7" t="s">
        <v>422</v>
      </c>
      <c r="BB63" s="7" t="s">
        <v>337</v>
      </c>
      <c r="BD63" s="7" t="s">
        <v>338</v>
      </c>
      <c r="BF63" s="7" t="s">
        <v>334</v>
      </c>
      <c r="BH63" s="14"/>
    </row>
    <row r="64" spans="1:61" ht="76.5" x14ac:dyDescent="0.2">
      <c r="A64" s="6" t="s">
        <v>15</v>
      </c>
      <c r="B64" s="7" t="s">
        <v>251</v>
      </c>
      <c r="C64" s="7" t="s">
        <v>331</v>
      </c>
      <c r="D64" s="7" t="s">
        <v>2777</v>
      </c>
      <c r="F64" s="7" t="s">
        <v>332</v>
      </c>
      <c r="H64" s="7" t="s">
        <v>333</v>
      </c>
      <c r="J64" s="7" t="s">
        <v>334</v>
      </c>
      <c r="M64" s="7" t="s">
        <v>334</v>
      </c>
      <c r="P64" s="7" t="s">
        <v>334</v>
      </c>
      <c r="R64" s="7" t="s">
        <v>2783</v>
      </c>
      <c r="T64" s="7" t="s">
        <v>251</v>
      </c>
      <c r="U64" s="14"/>
      <c r="V64" s="7" t="s">
        <v>334</v>
      </c>
      <c r="W64" s="14"/>
      <c r="X64" s="7" t="s">
        <v>251</v>
      </c>
      <c r="Y64" s="13">
        <v>10</v>
      </c>
      <c r="Z64" s="7" t="s">
        <v>251</v>
      </c>
      <c r="AA64" s="14"/>
      <c r="AB64" s="7" t="s">
        <v>334</v>
      </c>
      <c r="AD64" s="7" t="s">
        <v>2837</v>
      </c>
      <c r="AE64" s="13">
        <v>10</v>
      </c>
      <c r="AF64" s="14"/>
      <c r="AG64" s="7" t="s">
        <v>334</v>
      </c>
      <c r="AH64" s="14"/>
      <c r="AI64" s="7" t="s">
        <v>251</v>
      </c>
      <c r="AJ64" s="7" t="s">
        <v>251</v>
      </c>
      <c r="AL64" s="7" t="s">
        <v>251</v>
      </c>
      <c r="AM64" s="7" t="s">
        <v>351</v>
      </c>
      <c r="AN64" s="7" t="s">
        <v>251</v>
      </c>
      <c r="AP64" s="7" t="s">
        <v>336</v>
      </c>
      <c r="AR64" s="14"/>
      <c r="AS64" s="13"/>
      <c r="AV64" s="7" t="s">
        <v>336</v>
      </c>
      <c r="AW64" s="7" t="s">
        <v>336</v>
      </c>
      <c r="AX64" s="7" t="s">
        <v>336</v>
      </c>
      <c r="BB64" s="7" t="s">
        <v>337</v>
      </c>
      <c r="BD64" s="7" t="s">
        <v>338</v>
      </c>
      <c r="BF64" s="7" t="s">
        <v>345</v>
      </c>
      <c r="BH64" s="14"/>
    </row>
    <row r="65" spans="1:61" x14ac:dyDescent="0.2">
      <c r="A65" s="21" t="s">
        <v>3357</v>
      </c>
      <c r="B65" s="7">
        <f t="shared" ref="B65:AG65" si="0">COUNTA(B3:B64)</f>
        <v>62</v>
      </c>
      <c r="C65" s="7">
        <f t="shared" si="0"/>
        <v>61</v>
      </c>
      <c r="D65" s="7">
        <f t="shared" si="0"/>
        <v>60</v>
      </c>
      <c r="E65" s="7">
        <f t="shared" si="0"/>
        <v>0</v>
      </c>
      <c r="F65" s="7">
        <f t="shared" si="0"/>
        <v>60</v>
      </c>
      <c r="G65" s="7">
        <f t="shared" si="0"/>
        <v>9</v>
      </c>
      <c r="H65" s="7">
        <f t="shared" si="0"/>
        <v>60</v>
      </c>
      <c r="I65" s="7">
        <f t="shared" si="0"/>
        <v>8</v>
      </c>
      <c r="J65" s="7">
        <f t="shared" si="0"/>
        <v>61</v>
      </c>
      <c r="K65" s="7">
        <f t="shared" si="0"/>
        <v>0</v>
      </c>
      <c r="L65" s="7">
        <f t="shared" si="0"/>
        <v>1</v>
      </c>
      <c r="M65" s="7">
        <f t="shared" si="0"/>
        <v>60</v>
      </c>
      <c r="N65" s="7">
        <f t="shared" si="0"/>
        <v>1</v>
      </c>
      <c r="O65" s="7">
        <f t="shared" si="0"/>
        <v>0</v>
      </c>
      <c r="P65" s="7">
        <f t="shared" si="0"/>
        <v>61</v>
      </c>
      <c r="Q65" s="7">
        <f t="shared" si="0"/>
        <v>5</v>
      </c>
      <c r="R65" s="7">
        <f t="shared" si="0"/>
        <v>61</v>
      </c>
      <c r="S65" s="7">
        <f t="shared" si="0"/>
        <v>6</v>
      </c>
      <c r="T65" s="7">
        <f t="shared" si="0"/>
        <v>61</v>
      </c>
      <c r="U65" s="7">
        <f t="shared" si="0"/>
        <v>18</v>
      </c>
      <c r="V65" s="7">
        <f t="shared" si="0"/>
        <v>60</v>
      </c>
      <c r="W65" s="7">
        <f t="shared" si="0"/>
        <v>2</v>
      </c>
      <c r="X65" s="7">
        <f t="shared" si="0"/>
        <v>61</v>
      </c>
      <c r="Y65" s="7">
        <f t="shared" si="0"/>
        <v>18</v>
      </c>
      <c r="Z65" s="7">
        <f t="shared" si="0"/>
        <v>61</v>
      </c>
      <c r="AA65" s="7">
        <f t="shared" si="0"/>
        <v>56</v>
      </c>
      <c r="AB65" s="7">
        <f t="shared" si="0"/>
        <v>61</v>
      </c>
      <c r="AC65" s="7">
        <f t="shared" si="0"/>
        <v>1</v>
      </c>
      <c r="AD65" s="7">
        <f t="shared" si="0"/>
        <v>55</v>
      </c>
      <c r="AE65" s="7">
        <f t="shared" si="0"/>
        <v>24</v>
      </c>
      <c r="AF65" s="7">
        <f t="shared" si="0"/>
        <v>5</v>
      </c>
      <c r="AG65" s="7">
        <f t="shared" si="0"/>
        <v>56</v>
      </c>
      <c r="AH65" s="7">
        <f t="shared" ref="AH65:BI65" si="1">COUNTA(AH3:AH64)</f>
        <v>17</v>
      </c>
      <c r="AI65" s="7">
        <f t="shared" si="1"/>
        <v>56</v>
      </c>
      <c r="AJ65" s="7">
        <f t="shared" si="1"/>
        <v>55</v>
      </c>
      <c r="AK65" s="7">
        <f t="shared" si="1"/>
        <v>3</v>
      </c>
      <c r="AL65" s="7">
        <f t="shared" si="1"/>
        <v>58</v>
      </c>
      <c r="AM65" s="7">
        <f t="shared" si="1"/>
        <v>55</v>
      </c>
      <c r="AN65" s="7">
        <f t="shared" si="1"/>
        <v>60</v>
      </c>
      <c r="AO65" s="7">
        <f t="shared" si="1"/>
        <v>0</v>
      </c>
      <c r="AP65" s="7">
        <f t="shared" si="1"/>
        <v>61</v>
      </c>
      <c r="AQ65" s="7">
        <f t="shared" si="1"/>
        <v>10</v>
      </c>
      <c r="AR65" s="7">
        <f t="shared" si="1"/>
        <v>3</v>
      </c>
      <c r="AS65" s="7">
        <f t="shared" si="1"/>
        <v>4</v>
      </c>
      <c r="AT65" s="7">
        <f t="shared" si="1"/>
        <v>0</v>
      </c>
      <c r="AU65" s="7">
        <f t="shared" si="1"/>
        <v>2</v>
      </c>
      <c r="AV65" s="7">
        <f t="shared" si="1"/>
        <v>60</v>
      </c>
      <c r="AW65" s="7">
        <f t="shared" si="1"/>
        <v>59</v>
      </c>
      <c r="AX65" s="7">
        <f t="shared" si="1"/>
        <v>60</v>
      </c>
      <c r="AY65" s="7">
        <f t="shared" si="1"/>
        <v>0</v>
      </c>
      <c r="AZ65" s="7">
        <f t="shared" si="1"/>
        <v>0</v>
      </c>
      <c r="BA65" s="7">
        <f t="shared" si="1"/>
        <v>11</v>
      </c>
      <c r="BB65" s="7">
        <f t="shared" si="1"/>
        <v>61</v>
      </c>
      <c r="BC65" s="7">
        <f t="shared" si="1"/>
        <v>1</v>
      </c>
      <c r="BD65" s="7">
        <f t="shared" si="1"/>
        <v>61</v>
      </c>
      <c r="BE65" s="7">
        <f t="shared" si="1"/>
        <v>5</v>
      </c>
      <c r="BF65" s="7">
        <f t="shared" si="1"/>
        <v>61</v>
      </c>
      <c r="BG65" s="7">
        <f t="shared" si="1"/>
        <v>19</v>
      </c>
      <c r="BH65" s="7">
        <f t="shared" si="1"/>
        <v>7</v>
      </c>
      <c r="BI65" s="7">
        <f t="shared" si="1"/>
        <v>10</v>
      </c>
    </row>
  </sheetData>
  <autoFilter ref="A2:BI64" xr:uid="{650633D5-13E4-4A13-B650-BCB9D1697F7D}"/>
  <sortState xmlns:xlrd2="http://schemas.microsoft.com/office/spreadsheetml/2017/richdata2" ref="A3:BI64">
    <sortCondition ref="A3:A64"/>
  </sortState>
  <hyperlinks>
    <hyperlink ref="A1" location="Index!A1" display="Back to Index" xr:uid="{00000000-0004-0000-0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3.7109375" style="6" customWidth="1"/>
    <col min="2" max="9" width="30.7109375" style="7" customWidth="1"/>
    <col min="10" max="10" width="90.7109375" style="7" customWidth="1"/>
    <col min="11" max="11" width="37" style="7" customWidth="1"/>
    <col min="12" max="12" width="75.7109375" style="7" customWidth="1"/>
    <col min="13" max="97" width="30.7109375" style="7" customWidth="1"/>
    <col min="98" max="16384" width="15.7109375" style="6"/>
  </cols>
  <sheetData>
    <row r="1" spans="1:97" s="9" customFormat="1" x14ac:dyDescent="0.2">
      <c r="A1" s="12" t="s">
        <v>1984</v>
      </c>
      <c r="B1" s="8" t="s">
        <v>438</v>
      </c>
      <c r="C1" s="8" t="s">
        <v>439</v>
      </c>
      <c r="D1" s="8" t="s">
        <v>440</v>
      </c>
      <c r="E1" s="8" t="s">
        <v>441</v>
      </c>
      <c r="F1" s="8" t="s">
        <v>442</v>
      </c>
      <c r="G1" s="8" t="s">
        <v>443</v>
      </c>
      <c r="H1" s="8" t="s">
        <v>444</v>
      </c>
      <c r="I1" s="8" t="s">
        <v>445</v>
      </c>
      <c r="J1" s="8" t="s">
        <v>446</v>
      </c>
      <c r="K1" s="8" t="s">
        <v>447</v>
      </c>
      <c r="L1" s="8" t="s">
        <v>448</v>
      </c>
      <c r="M1" s="8" t="s">
        <v>449</v>
      </c>
      <c r="N1" s="8" t="s">
        <v>450</v>
      </c>
      <c r="O1" s="8" t="s">
        <v>451</v>
      </c>
      <c r="P1" s="8" t="s">
        <v>452</v>
      </c>
      <c r="Q1" s="8" t="s">
        <v>453</v>
      </c>
      <c r="R1" s="8" t="s">
        <v>454</v>
      </c>
      <c r="S1" s="8" t="s">
        <v>455</v>
      </c>
      <c r="T1" s="8" t="s">
        <v>456</v>
      </c>
      <c r="U1" s="8" t="s">
        <v>457</v>
      </c>
      <c r="V1" s="8" t="s">
        <v>458</v>
      </c>
      <c r="W1" s="8" t="s">
        <v>459</v>
      </c>
      <c r="X1" s="8" t="s">
        <v>460</v>
      </c>
      <c r="Y1" s="8" t="s">
        <v>461</v>
      </c>
      <c r="Z1" s="8" t="s">
        <v>462</v>
      </c>
      <c r="AA1" s="8" t="s">
        <v>463</v>
      </c>
      <c r="AB1" s="8" t="s">
        <v>464</v>
      </c>
      <c r="AC1" s="8" t="s">
        <v>465</v>
      </c>
      <c r="AD1" s="8" t="s">
        <v>466</v>
      </c>
      <c r="AE1" s="8" t="s">
        <v>467</v>
      </c>
      <c r="AF1" s="8" t="s">
        <v>468</v>
      </c>
      <c r="AG1" s="8" t="s">
        <v>469</v>
      </c>
      <c r="AH1" s="8" t="s">
        <v>470</v>
      </c>
      <c r="AI1" s="8" t="s">
        <v>471</v>
      </c>
      <c r="AJ1" s="8" t="s">
        <v>472</v>
      </c>
      <c r="AK1" s="8" t="s">
        <v>473</v>
      </c>
      <c r="AL1" s="8" t="s">
        <v>474</v>
      </c>
      <c r="AM1" s="8" t="s">
        <v>475</v>
      </c>
      <c r="AN1" s="8" t="s">
        <v>476</v>
      </c>
      <c r="AO1" s="8" t="s">
        <v>477</v>
      </c>
      <c r="AP1" s="8" t="s">
        <v>478</v>
      </c>
      <c r="AQ1" s="8" t="s">
        <v>479</v>
      </c>
      <c r="AR1" s="8" t="s">
        <v>480</v>
      </c>
      <c r="AS1" s="8" t="s">
        <v>481</v>
      </c>
      <c r="AT1" s="8" t="s">
        <v>482</v>
      </c>
      <c r="AU1" s="8" t="s">
        <v>483</v>
      </c>
      <c r="AV1" s="8" t="s">
        <v>484</v>
      </c>
      <c r="AW1" s="8" t="s">
        <v>485</v>
      </c>
      <c r="AX1" s="8" t="s">
        <v>486</v>
      </c>
      <c r="AY1" s="8" t="s">
        <v>487</v>
      </c>
      <c r="AZ1" s="8" t="s">
        <v>488</v>
      </c>
      <c r="BA1" s="8" t="s">
        <v>489</v>
      </c>
      <c r="BB1" s="8" t="s">
        <v>490</v>
      </c>
      <c r="BC1" s="8" t="s">
        <v>491</v>
      </c>
      <c r="BD1" s="8" t="s">
        <v>492</v>
      </c>
      <c r="BE1" s="8" t="s">
        <v>493</v>
      </c>
      <c r="BF1" s="8" t="s">
        <v>494</v>
      </c>
      <c r="BG1" s="8" t="s">
        <v>495</v>
      </c>
      <c r="BH1" s="8" t="s">
        <v>496</v>
      </c>
      <c r="BI1" s="8" t="s">
        <v>497</v>
      </c>
      <c r="BJ1" s="8" t="s">
        <v>498</v>
      </c>
      <c r="BK1" s="8" t="s">
        <v>499</v>
      </c>
      <c r="BL1" s="8" t="s">
        <v>500</v>
      </c>
      <c r="BM1" s="8" t="s">
        <v>501</v>
      </c>
      <c r="BN1" s="8" t="s">
        <v>502</v>
      </c>
      <c r="BO1" s="8" t="s">
        <v>503</v>
      </c>
      <c r="BP1" s="8" t="s">
        <v>504</v>
      </c>
      <c r="BQ1" s="8" t="s">
        <v>505</v>
      </c>
      <c r="BR1" s="8" t="s">
        <v>506</v>
      </c>
      <c r="BS1" s="8" t="s">
        <v>507</v>
      </c>
      <c r="BT1" s="8" t="s">
        <v>508</v>
      </c>
      <c r="BU1" s="8" t="s">
        <v>509</v>
      </c>
      <c r="BV1" s="8" t="s">
        <v>510</v>
      </c>
      <c r="BW1" s="8" t="s">
        <v>511</v>
      </c>
      <c r="BX1" s="8" t="s">
        <v>512</v>
      </c>
      <c r="BY1" s="8" t="s">
        <v>513</v>
      </c>
      <c r="BZ1" s="8" t="s">
        <v>514</v>
      </c>
      <c r="CA1" s="8" t="s">
        <v>515</v>
      </c>
      <c r="CB1" s="8" t="s">
        <v>516</v>
      </c>
      <c r="CC1" s="8" t="s">
        <v>517</v>
      </c>
      <c r="CD1" s="8" t="s">
        <v>518</v>
      </c>
      <c r="CE1" s="8" t="s">
        <v>519</v>
      </c>
      <c r="CF1" s="8" t="s">
        <v>520</v>
      </c>
      <c r="CG1" s="8" t="s">
        <v>521</v>
      </c>
      <c r="CH1" s="8" t="s">
        <v>522</v>
      </c>
      <c r="CI1" s="8" t="s">
        <v>523</v>
      </c>
      <c r="CJ1" s="8" t="s">
        <v>524</v>
      </c>
      <c r="CK1" s="8" t="s">
        <v>525</v>
      </c>
      <c r="CL1" s="8" t="s">
        <v>526</v>
      </c>
      <c r="CM1" s="8" t="s">
        <v>527</v>
      </c>
      <c r="CN1" s="8" t="s">
        <v>528</v>
      </c>
      <c r="CO1" s="8" t="s">
        <v>529</v>
      </c>
      <c r="CP1" s="8" t="s">
        <v>530</v>
      </c>
      <c r="CQ1" s="8" t="s">
        <v>531</v>
      </c>
      <c r="CR1" s="8" t="s">
        <v>532</v>
      </c>
      <c r="CS1" s="8" t="s">
        <v>533</v>
      </c>
    </row>
    <row r="2" spans="1:97" s="8" customFormat="1" ht="51" x14ac:dyDescent="0.2">
      <c r="A2" s="8" t="s">
        <v>2713</v>
      </c>
      <c r="B2" s="17" t="s">
        <v>2043</v>
      </c>
      <c r="C2" s="8" t="s">
        <v>2044</v>
      </c>
      <c r="D2" s="8" t="s">
        <v>2045</v>
      </c>
      <c r="E2" s="8" t="s">
        <v>2046</v>
      </c>
      <c r="F2" s="17" t="s">
        <v>2047</v>
      </c>
      <c r="G2" s="17" t="s">
        <v>1994</v>
      </c>
      <c r="H2" s="17" t="s">
        <v>1995</v>
      </c>
      <c r="I2" s="8" t="s">
        <v>2048</v>
      </c>
      <c r="J2" s="8" t="s">
        <v>2049</v>
      </c>
      <c r="K2" s="17" t="s">
        <v>2050</v>
      </c>
      <c r="L2" s="17" t="s">
        <v>2716</v>
      </c>
      <c r="M2" s="8" t="s">
        <v>2051</v>
      </c>
      <c r="N2" s="8" t="s">
        <v>2052</v>
      </c>
      <c r="O2" s="8" t="s">
        <v>2053</v>
      </c>
      <c r="P2" s="17" t="s">
        <v>2054</v>
      </c>
      <c r="Q2" s="17" t="s">
        <v>2055</v>
      </c>
      <c r="R2" s="8" t="s">
        <v>2056</v>
      </c>
      <c r="S2" s="8" t="s">
        <v>2057</v>
      </c>
      <c r="T2" s="8" t="s">
        <v>2058</v>
      </c>
      <c r="U2" s="8" t="s">
        <v>2059</v>
      </c>
      <c r="V2" s="17" t="s">
        <v>2060</v>
      </c>
      <c r="W2" s="17" t="s">
        <v>2061</v>
      </c>
      <c r="X2" s="17" t="s">
        <v>2062</v>
      </c>
      <c r="Y2" s="17" t="s">
        <v>2063</v>
      </c>
      <c r="Z2" s="17" t="s">
        <v>2064</v>
      </c>
      <c r="AA2" s="17" t="s">
        <v>2065</v>
      </c>
      <c r="AB2" s="17" t="s">
        <v>2066</v>
      </c>
      <c r="AC2" s="17" t="s">
        <v>2067</v>
      </c>
      <c r="AD2" s="8" t="s">
        <v>2068</v>
      </c>
      <c r="AE2" s="8" t="s">
        <v>2069</v>
      </c>
      <c r="AF2" s="17" t="s">
        <v>2023</v>
      </c>
      <c r="AG2" s="17" t="s">
        <v>2024</v>
      </c>
      <c r="AH2" s="17" t="s">
        <v>2025</v>
      </c>
      <c r="AI2" s="17" t="s">
        <v>2026</v>
      </c>
      <c r="AJ2" s="17" t="s">
        <v>2027</v>
      </c>
      <c r="AK2" s="17" t="s">
        <v>2070</v>
      </c>
      <c r="AL2" s="8" t="s">
        <v>2071</v>
      </c>
      <c r="AM2" s="8" t="s">
        <v>2072</v>
      </c>
      <c r="AN2" s="8" t="s">
        <v>2073</v>
      </c>
      <c r="AO2" s="8" t="s">
        <v>2074</v>
      </c>
      <c r="AP2" s="8" t="s">
        <v>2075</v>
      </c>
      <c r="AQ2" s="8" t="s">
        <v>2034</v>
      </c>
      <c r="AR2" s="17" t="s">
        <v>2076</v>
      </c>
      <c r="AS2" s="17" t="s">
        <v>2077</v>
      </c>
      <c r="AT2" s="8" t="s">
        <v>2078</v>
      </c>
      <c r="AU2" s="8" t="s">
        <v>2079</v>
      </c>
      <c r="AV2" s="8" t="s">
        <v>2080</v>
      </c>
      <c r="AW2" s="17" t="s">
        <v>2081</v>
      </c>
      <c r="AX2" s="17" t="s">
        <v>2082</v>
      </c>
      <c r="AY2" s="8" t="s">
        <v>2083</v>
      </c>
      <c r="AZ2" s="17" t="s">
        <v>2084</v>
      </c>
      <c r="BA2" s="17" t="s">
        <v>2085</v>
      </c>
      <c r="BB2" s="17" t="s">
        <v>2086</v>
      </c>
      <c r="BC2" s="8" t="s">
        <v>2087</v>
      </c>
      <c r="BD2" s="8" t="s">
        <v>1994</v>
      </c>
      <c r="BE2" s="8" t="s">
        <v>1995</v>
      </c>
      <c r="BF2" s="17" t="s">
        <v>2088</v>
      </c>
      <c r="BG2" s="17" t="s">
        <v>2089</v>
      </c>
      <c r="BH2" s="8" t="s">
        <v>2090</v>
      </c>
      <c r="BI2" s="8" t="s">
        <v>2091</v>
      </c>
      <c r="BJ2" s="17" t="s">
        <v>2092</v>
      </c>
      <c r="BK2" s="17" t="s">
        <v>2093</v>
      </c>
      <c r="BL2" s="8" t="s">
        <v>2094</v>
      </c>
      <c r="BM2" s="8" t="s">
        <v>2095</v>
      </c>
      <c r="BN2" s="8" t="s">
        <v>2096</v>
      </c>
      <c r="BO2" s="8" t="s">
        <v>2097</v>
      </c>
      <c r="BP2" s="8" t="s">
        <v>2098</v>
      </c>
      <c r="BQ2" s="8" t="s">
        <v>2099</v>
      </c>
      <c r="BR2" s="8" t="s">
        <v>2100</v>
      </c>
      <c r="BS2" s="17" t="s">
        <v>2101</v>
      </c>
      <c r="BT2" s="17" t="s">
        <v>2102</v>
      </c>
      <c r="BU2" s="17" t="s">
        <v>2103</v>
      </c>
      <c r="BV2" s="17" t="s">
        <v>2104</v>
      </c>
      <c r="BW2" s="17" t="s">
        <v>2105</v>
      </c>
      <c r="BX2" s="17" t="s">
        <v>2106</v>
      </c>
      <c r="BY2" s="8" t="s">
        <v>2068</v>
      </c>
      <c r="BZ2" s="8" t="s">
        <v>2069</v>
      </c>
      <c r="CA2" s="17" t="s">
        <v>2107</v>
      </c>
      <c r="CB2" s="17" t="s">
        <v>2024</v>
      </c>
      <c r="CC2" s="17" t="s">
        <v>2025</v>
      </c>
      <c r="CD2" s="17" t="s">
        <v>2026</v>
      </c>
      <c r="CE2" s="17" t="s">
        <v>2027</v>
      </c>
      <c r="CF2" s="17" t="s">
        <v>2070</v>
      </c>
      <c r="CG2" s="8" t="s">
        <v>2108</v>
      </c>
      <c r="CH2" s="8" t="s">
        <v>2109</v>
      </c>
      <c r="CI2" s="8" t="s">
        <v>2110</v>
      </c>
      <c r="CJ2" s="8" t="s">
        <v>2111</v>
      </c>
      <c r="CK2" s="8" t="s">
        <v>2112</v>
      </c>
      <c r="CL2" s="8" t="s">
        <v>2034</v>
      </c>
      <c r="CM2" s="17" t="s">
        <v>2113</v>
      </c>
      <c r="CN2" s="17" t="s">
        <v>2114</v>
      </c>
      <c r="CO2" s="8" t="s">
        <v>2115</v>
      </c>
      <c r="CP2" s="8" t="s">
        <v>2116</v>
      </c>
      <c r="CQ2" s="8" t="s">
        <v>2117</v>
      </c>
      <c r="CR2" s="17" t="s">
        <v>2118</v>
      </c>
      <c r="CS2" s="17" t="s">
        <v>2119</v>
      </c>
    </row>
    <row r="3" spans="1:97" ht="63.75" x14ac:dyDescent="0.2">
      <c r="A3" s="6" t="s">
        <v>69</v>
      </c>
      <c r="B3" s="7" t="s">
        <v>251</v>
      </c>
      <c r="C3" s="7" t="s">
        <v>331</v>
      </c>
      <c r="D3" s="7" t="s">
        <v>2777</v>
      </c>
      <c r="F3" s="7" t="s">
        <v>334</v>
      </c>
      <c r="I3" s="7" t="s">
        <v>334</v>
      </c>
      <c r="K3" s="7" t="s">
        <v>2869</v>
      </c>
      <c r="M3" s="7" t="s">
        <v>334</v>
      </c>
      <c r="N3" s="13"/>
      <c r="O3" s="13"/>
      <c r="P3" s="7" t="s">
        <v>334</v>
      </c>
      <c r="Q3" s="13"/>
      <c r="R3" s="7" t="s">
        <v>540</v>
      </c>
      <c r="T3" s="7" t="s">
        <v>334</v>
      </c>
      <c r="U3" s="13"/>
      <c r="V3" s="7" t="s">
        <v>2891</v>
      </c>
      <c r="W3" s="7" t="s">
        <v>628</v>
      </c>
      <c r="X3" s="14">
        <v>3000</v>
      </c>
      <c r="Y3" s="14"/>
      <c r="Z3" s="14"/>
      <c r="AA3" s="14"/>
      <c r="AB3" s="14"/>
      <c r="AC3" s="14"/>
      <c r="AD3" s="7" t="s">
        <v>251</v>
      </c>
      <c r="AF3" s="7" t="s">
        <v>336</v>
      </c>
      <c r="AH3" s="15"/>
      <c r="AI3" s="13"/>
      <c r="AL3" s="7" t="s">
        <v>336</v>
      </c>
      <c r="AM3" s="7" t="s">
        <v>336</v>
      </c>
      <c r="AN3" s="7" t="s">
        <v>336</v>
      </c>
      <c r="AR3" s="7" t="s">
        <v>337</v>
      </c>
      <c r="AT3" s="7" t="s">
        <v>535</v>
      </c>
      <c r="AW3" s="7" t="s">
        <v>338</v>
      </c>
      <c r="AY3" s="7" t="s">
        <v>251</v>
      </c>
      <c r="AZ3" s="7" t="s">
        <v>331</v>
      </c>
      <c r="BA3" s="7" t="s">
        <v>2777</v>
      </c>
      <c r="BC3" s="7" t="s">
        <v>334</v>
      </c>
      <c r="BF3" s="7" t="s">
        <v>334</v>
      </c>
      <c r="BH3" s="7" t="s">
        <v>334</v>
      </c>
      <c r="BJ3" s="7" t="s">
        <v>2864</v>
      </c>
      <c r="BL3" s="7" t="s">
        <v>536</v>
      </c>
      <c r="BM3" s="7" t="s">
        <v>536</v>
      </c>
      <c r="BN3" s="7" t="s">
        <v>536</v>
      </c>
      <c r="BO3" s="7" t="s">
        <v>536</v>
      </c>
      <c r="BS3" s="14">
        <v>250</v>
      </c>
      <c r="BT3" s="14">
        <v>250</v>
      </c>
      <c r="BU3" s="14">
        <v>150</v>
      </c>
      <c r="BV3" s="14">
        <v>200</v>
      </c>
      <c r="BW3" s="14"/>
      <c r="BX3" s="14"/>
      <c r="BY3" s="7" t="s">
        <v>251</v>
      </c>
      <c r="CA3" s="7" t="s">
        <v>336</v>
      </c>
      <c r="CG3" s="7" t="s">
        <v>336</v>
      </c>
      <c r="CH3" s="7" t="s">
        <v>336</v>
      </c>
      <c r="CI3" s="7" t="s">
        <v>336</v>
      </c>
      <c r="CM3" s="7" t="s">
        <v>337</v>
      </c>
      <c r="CO3" s="7" t="s">
        <v>535</v>
      </c>
      <c r="CR3" s="7" t="s">
        <v>338</v>
      </c>
    </row>
    <row r="4" spans="1:97" ht="76.5" x14ac:dyDescent="0.2">
      <c r="A4" s="6" t="s">
        <v>45</v>
      </c>
      <c r="B4" s="7" t="s">
        <v>251</v>
      </c>
      <c r="C4" s="7" t="s">
        <v>331</v>
      </c>
      <c r="D4" s="7" t="s">
        <v>2777</v>
      </c>
      <c r="F4" s="7" t="s">
        <v>334</v>
      </c>
      <c r="I4" s="7" t="s">
        <v>334</v>
      </c>
      <c r="K4" s="7" t="s">
        <v>2868</v>
      </c>
      <c r="M4" s="7" t="s">
        <v>334</v>
      </c>
      <c r="N4" s="13"/>
      <c r="O4" s="13"/>
      <c r="P4" s="7" t="s">
        <v>251</v>
      </c>
      <c r="Q4" s="13">
        <v>50</v>
      </c>
      <c r="R4" s="7" t="s">
        <v>540</v>
      </c>
      <c r="T4" s="7" t="s">
        <v>251</v>
      </c>
      <c r="U4" s="13">
        <v>50</v>
      </c>
      <c r="V4" s="7" t="s">
        <v>2891</v>
      </c>
      <c r="W4" s="7" t="s">
        <v>596</v>
      </c>
      <c r="X4" s="14">
        <v>2000</v>
      </c>
      <c r="Y4" s="14"/>
      <c r="Z4" s="14"/>
      <c r="AA4" s="14"/>
      <c r="AB4" s="14">
        <v>2000</v>
      </c>
      <c r="AC4" s="14">
        <v>2000</v>
      </c>
      <c r="AD4" s="7" t="s">
        <v>251</v>
      </c>
      <c r="AF4" s="7" t="s">
        <v>336</v>
      </c>
      <c r="AH4" s="15"/>
      <c r="AI4" s="13"/>
      <c r="AL4" s="7" t="s">
        <v>336</v>
      </c>
      <c r="AM4" s="7" t="s">
        <v>336</v>
      </c>
      <c r="AN4" s="7" t="s">
        <v>336</v>
      </c>
      <c r="AR4" s="7" t="s">
        <v>343</v>
      </c>
      <c r="AW4" s="7" t="s">
        <v>338</v>
      </c>
      <c r="AY4" s="7" t="s">
        <v>251</v>
      </c>
      <c r="AZ4" s="7" t="s">
        <v>331</v>
      </c>
      <c r="BA4" s="7" t="s">
        <v>2777</v>
      </c>
      <c r="BC4" s="7" t="s">
        <v>334</v>
      </c>
      <c r="BF4" s="7" t="s">
        <v>334</v>
      </c>
      <c r="BH4" s="7" t="s">
        <v>334</v>
      </c>
      <c r="BI4" s="13"/>
      <c r="BJ4" s="7" t="s">
        <v>2864</v>
      </c>
      <c r="BN4" s="7" t="s">
        <v>536</v>
      </c>
      <c r="BR4" s="7" t="s">
        <v>597</v>
      </c>
      <c r="BS4" s="14"/>
      <c r="BT4" s="14"/>
      <c r="BU4" s="14"/>
      <c r="BV4" s="14"/>
      <c r="BW4" s="14"/>
      <c r="BX4" s="14"/>
      <c r="BY4" s="7" t="s">
        <v>251</v>
      </c>
      <c r="CA4" s="7" t="s">
        <v>336</v>
      </c>
      <c r="CC4" s="14"/>
      <c r="CD4" s="13"/>
      <c r="CG4" s="7" t="s">
        <v>336</v>
      </c>
      <c r="CH4" s="7" t="s">
        <v>336</v>
      </c>
      <c r="CI4" s="7" t="s">
        <v>336</v>
      </c>
      <c r="CM4" s="7" t="s">
        <v>343</v>
      </c>
      <c r="CR4" s="7" t="s">
        <v>338</v>
      </c>
    </row>
    <row r="5" spans="1:97" ht="63.75" x14ac:dyDescent="0.2">
      <c r="A5" s="6" t="s">
        <v>18</v>
      </c>
      <c r="B5" s="7" t="s">
        <v>251</v>
      </c>
      <c r="C5" s="7" t="s">
        <v>331</v>
      </c>
      <c r="D5" s="7" t="s">
        <v>2778</v>
      </c>
      <c r="F5" s="7" t="s">
        <v>334</v>
      </c>
      <c r="I5" s="7" t="s">
        <v>334</v>
      </c>
      <c r="K5" s="7" t="s">
        <v>2872</v>
      </c>
      <c r="M5" s="7" t="s">
        <v>334</v>
      </c>
      <c r="N5" s="13"/>
      <c r="O5" s="13"/>
      <c r="P5" s="7" t="s">
        <v>251</v>
      </c>
      <c r="Q5" s="13">
        <v>50</v>
      </c>
      <c r="R5" s="7" t="s">
        <v>534</v>
      </c>
      <c r="T5" s="7" t="s">
        <v>251</v>
      </c>
      <c r="U5" s="13">
        <v>50</v>
      </c>
      <c r="V5" s="7" t="s">
        <v>2859</v>
      </c>
      <c r="X5" s="14">
        <v>2000</v>
      </c>
      <c r="Y5" s="14">
        <v>2000</v>
      </c>
      <c r="Z5" s="14">
        <v>2000</v>
      </c>
      <c r="AA5" s="14">
        <v>2000</v>
      </c>
      <c r="AB5" s="14">
        <v>2500</v>
      </c>
      <c r="AC5" s="14"/>
      <c r="AD5" s="7" t="s">
        <v>251</v>
      </c>
      <c r="AF5" s="7" t="s">
        <v>336</v>
      </c>
      <c r="AH5" s="15"/>
      <c r="AI5" s="13"/>
      <c r="AL5" s="7" t="s">
        <v>336</v>
      </c>
      <c r="AN5" s="7" t="s">
        <v>336</v>
      </c>
      <c r="AR5" s="7" t="s">
        <v>337</v>
      </c>
      <c r="AT5" s="7" t="s">
        <v>535</v>
      </c>
      <c r="AW5" s="7" t="s">
        <v>350</v>
      </c>
      <c r="AY5" s="7" t="s">
        <v>251</v>
      </c>
      <c r="AZ5" s="7" t="s">
        <v>331</v>
      </c>
      <c r="BA5" s="7" t="s">
        <v>2778</v>
      </c>
      <c r="BC5" s="7" t="s">
        <v>334</v>
      </c>
      <c r="BF5" s="7" t="s">
        <v>334</v>
      </c>
      <c r="BH5" s="7" t="s">
        <v>334</v>
      </c>
      <c r="BI5" s="13"/>
      <c r="BJ5" s="7" t="s">
        <v>2864</v>
      </c>
      <c r="BL5" s="7" t="s">
        <v>536</v>
      </c>
      <c r="BM5" s="7" t="s">
        <v>536</v>
      </c>
      <c r="BN5" s="7" t="s">
        <v>536</v>
      </c>
      <c r="BO5" s="7" t="s">
        <v>536</v>
      </c>
      <c r="BS5" s="14">
        <v>400</v>
      </c>
      <c r="BT5" s="14">
        <v>400</v>
      </c>
      <c r="BU5" s="14">
        <v>400</v>
      </c>
      <c r="BV5" s="14">
        <v>400</v>
      </c>
      <c r="BW5" s="14"/>
      <c r="BX5" s="14"/>
      <c r="BY5" s="7" t="s">
        <v>251</v>
      </c>
      <c r="CA5" s="7" t="s">
        <v>336</v>
      </c>
      <c r="CC5" s="14"/>
      <c r="CD5" s="13"/>
      <c r="CG5" s="7" t="s">
        <v>336</v>
      </c>
      <c r="CI5" s="7" t="s">
        <v>336</v>
      </c>
      <c r="CM5" s="7" t="s">
        <v>337</v>
      </c>
      <c r="CO5" s="7" t="s">
        <v>535</v>
      </c>
      <c r="CR5" s="7" t="s">
        <v>350</v>
      </c>
    </row>
    <row r="6" spans="1:97" ht="114.75" x14ac:dyDescent="0.2">
      <c r="A6" s="6" t="s">
        <v>30</v>
      </c>
      <c r="B6" s="7" t="s">
        <v>251</v>
      </c>
      <c r="C6" s="7" t="s">
        <v>331</v>
      </c>
      <c r="D6" s="7" t="s">
        <v>2777</v>
      </c>
      <c r="F6" s="7" t="s">
        <v>334</v>
      </c>
      <c r="I6" s="7" t="s">
        <v>334</v>
      </c>
      <c r="K6" s="7" t="s">
        <v>2875</v>
      </c>
      <c r="L6" s="7" t="s">
        <v>570</v>
      </c>
      <c r="M6" s="7" t="s">
        <v>539</v>
      </c>
      <c r="N6" s="13">
        <v>40</v>
      </c>
      <c r="O6" s="13">
        <v>40</v>
      </c>
      <c r="P6" s="7" t="s">
        <v>251</v>
      </c>
      <c r="Q6" s="13">
        <v>40</v>
      </c>
      <c r="R6" s="7" t="s">
        <v>540</v>
      </c>
      <c r="T6" s="7" t="s">
        <v>251</v>
      </c>
      <c r="U6" s="13">
        <v>40</v>
      </c>
      <c r="V6" s="7" t="s">
        <v>2861</v>
      </c>
      <c r="X6" s="14"/>
      <c r="Y6" s="14">
        <v>2000</v>
      </c>
      <c r="Z6" s="14">
        <v>2000</v>
      </c>
      <c r="AA6" s="14">
        <v>1500</v>
      </c>
      <c r="AB6" s="14">
        <v>3000</v>
      </c>
      <c r="AC6" s="14"/>
      <c r="AD6" s="7" t="s">
        <v>251</v>
      </c>
      <c r="AF6" s="7" t="s">
        <v>336</v>
      </c>
      <c r="AH6" s="15"/>
      <c r="AI6" s="13"/>
      <c r="AL6" s="7" t="s">
        <v>336</v>
      </c>
      <c r="AM6" s="7" t="s">
        <v>336</v>
      </c>
      <c r="AN6" s="7" t="s">
        <v>336</v>
      </c>
      <c r="AR6" s="7" t="s">
        <v>337</v>
      </c>
      <c r="AT6" s="7" t="s">
        <v>556</v>
      </c>
      <c r="AW6" s="7" t="s">
        <v>344</v>
      </c>
      <c r="AY6" s="7" t="s">
        <v>251</v>
      </c>
      <c r="AZ6" s="7" t="s">
        <v>331</v>
      </c>
      <c r="BA6" s="7" t="s">
        <v>2777</v>
      </c>
      <c r="BC6" s="7" t="s">
        <v>334</v>
      </c>
      <c r="BF6" s="7" t="s">
        <v>334</v>
      </c>
      <c r="BH6" s="7" t="s">
        <v>334</v>
      </c>
      <c r="BI6" s="13"/>
      <c r="BJ6" s="7" t="s">
        <v>130</v>
      </c>
      <c r="BK6" s="7" t="s">
        <v>571</v>
      </c>
      <c r="BQ6" s="7" t="s">
        <v>536</v>
      </c>
      <c r="BS6" s="14"/>
      <c r="BT6" s="14"/>
      <c r="BU6" s="14"/>
      <c r="BV6" s="14"/>
      <c r="BW6" s="14"/>
      <c r="BX6" s="14">
        <v>400</v>
      </c>
      <c r="BY6" s="7" t="s">
        <v>251</v>
      </c>
      <c r="CA6" s="7" t="s">
        <v>336</v>
      </c>
      <c r="CC6" s="14"/>
      <c r="CD6" s="13"/>
      <c r="CG6" s="7" t="s">
        <v>336</v>
      </c>
      <c r="CH6" s="7" t="s">
        <v>336</v>
      </c>
      <c r="CI6" s="7" t="s">
        <v>336</v>
      </c>
      <c r="CM6" s="7" t="s">
        <v>337</v>
      </c>
      <c r="CO6" s="7" t="s">
        <v>535</v>
      </c>
      <c r="CR6" s="7" t="s">
        <v>344</v>
      </c>
    </row>
    <row r="7" spans="1:97" ht="63.75" x14ac:dyDescent="0.2">
      <c r="A7" s="6" t="s">
        <v>66</v>
      </c>
      <c r="B7" s="7" t="s">
        <v>251</v>
      </c>
      <c r="C7" s="7" t="s">
        <v>331</v>
      </c>
      <c r="D7" s="7" t="s">
        <v>2777</v>
      </c>
      <c r="F7" s="7" t="s">
        <v>334</v>
      </c>
      <c r="I7" s="7" t="s">
        <v>334</v>
      </c>
      <c r="K7" s="7" t="s">
        <v>2873</v>
      </c>
      <c r="M7" s="7" t="s">
        <v>542</v>
      </c>
      <c r="N7" s="13"/>
      <c r="O7" s="13">
        <v>10</v>
      </c>
      <c r="P7" s="7" t="s">
        <v>251</v>
      </c>
      <c r="Q7" s="13">
        <v>50</v>
      </c>
      <c r="U7" s="13"/>
      <c r="V7" s="7" t="s">
        <v>544</v>
      </c>
      <c r="X7" s="14">
        <v>3000</v>
      </c>
      <c r="Y7" s="14"/>
      <c r="Z7" s="14"/>
      <c r="AA7" s="14"/>
      <c r="AB7" s="14"/>
      <c r="AC7" s="14"/>
      <c r="AD7" s="7" t="s">
        <v>251</v>
      </c>
      <c r="AF7" s="7" t="s">
        <v>336</v>
      </c>
      <c r="AH7" s="15"/>
      <c r="AI7" s="13"/>
      <c r="AL7" s="7" t="s">
        <v>336</v>
      </c>
      <c r="AM7" s="7" t="s">
        <v>336</v>
      </c>
      <c r="AN7" s="7" t="s">
        <v>336</v>
      </c>
      <c r="AR7" s="7" t="s">
        <v>337</v>
      </c>
      <c r="AT7" s="7" t="s">
        <v>535</v>
      </c>
      <c r="AW7" s="7" t="s">
        <v>338</v>
      </c>
      <c r="AY7" s="7" t="s">
        <v>334</v>
      </c>
      <c r="BS7" s="14"/>
      <c r="BT7" s="14"/>
      <c r="BU7" s="14"/>
      <c r="BV7" s="14"/>
      <c r="BW7" s="14"/>
      <c r="BX7" s="14"/>
    </row>
    <row r="8" spans="1:97" ht="51" x14ac:dyDescent="0.2">
      <c r="A8" s="6" t="s">
        <v>34</v>
      </c>
      <c r="B8" s="7" t="s">
        <v>251</v>
      </c>
      <c r="C8" s="7" t="s">
        <v>331</v>
      </c>
      <c r="D8" s="7" t="s">
        <v>2777</v>
      </c>
      <c r="F8" s="7" t="s">
        <v>334</v>
      </c>
      <c r="I8" s="7" t="s">
        <v>334</v>
      </c>
      <c r="K8" s="7" t="s">
        <v>2878</v>
      </c>
      <c r="M8" s="7" t="s">
        <v>334</v>
      </c>
      <c r="N8" s="13"/>
      <c r="O8" s="13"/>
      <c r="P8" s="7" t="s">
        <v>334</v>
      </c>
      <c r="Q8" s="13"/>
      <c r="R8" s="7" t="s">
        <v>540</v>
      </c>
      <c r="T8" s="7" t="s">
        <v>334</v>
      </c>
      <c r="U8" s="13"/>
      <c r="V8" s="7" t="s">
        <v>544</v>
      </c>
      <c r="X8" s="14">
        <v>2000</v>
      </c>
      <c r="Y8" s="14"/>
      <c r="Z8" s="14"/>
      <c r="AA8" s="14"/>
      <c r="AB8" s="14"/>
      <c r="AC8" s="14"/>
      <c r="AD8" s="7" t="s">
        <v>251</v>
      </c>
      <c r="AF8" s="7" t="s">
        <v>336</v>
      </c>
      <c r="AH8" s="15"/>
      <c r="AI8" s="13"/>
      <c r="AL8" s="7" t="s">
        <v>336</v>
      </c>
      <c r="AM8" s="7" t="s">
        <v>336</v>
      </c>
      <c r="AN8" s="7" t="s">
        <v>336</v>
      </c>
      <c r="AR8" s="7" t="s">
        <v>337</v>
      </c>
      <c r="AT8" s="7" t="s">
        <v>556</v>
      </c>
      <c r="AW8" s="7" t="s">
        <v>344</v>
      </c>
      <c r="AY8" s="7" t="s">
        <v>251</v>
      </c>
      <c r="AZ8" s="7" t="s">
        <v>331</v>
      </c>
      <c r="BA8" s="7" t="s">
        <v>2777</v>
      </c>
      <c r="BC8" s="7" t="s">
        <v>334</v>
      </c>
      <c r="BF8" s="7" t="s">
        <v>334</v>
      </c>
      <c r="BH8" s="7" t="s">
        <v>334</v>
      </c>
      <c r="BI8" s="13"/>
      <c r="BJ8" s="7" t="s">
        <v>2865</v>
      </c>
      <c r="BL8" s="7" t="s">
        <v>536</v>
      </c>
      <c r="BM8" s="7" t="s">
        <v>536</v>
      </c>
      <c r="BN8" s="7" t="s">
        <v>537</v>
      </c>
      <c r="BS8" s="14">
        <v>300</v>
      </c>
      <c r="BT8" s="14">
        <v>300</v>
      </c>
      <c r="BU8" s="14">
        <v>300</v>
      </c>
      <c r="BV8" s="14"/>
      <c r="BW8" s="14"/>
      <c r="BX8" s="14"/>
      <c r="BY8" s="7" t="s">
        <v>251</v>
      </c>
      <c r="CA8" s="7" t="s">
        <v>336</v>
      </c>
      <c r="CC8" s="14"/>
      <c r="CD8" s="13"/>
      <c r="CG8" s="7" t="s">
        <v>336</v>
      </c>
      <c r="CH8" s="7" t="s">
        <v>336</v>
      </c>
      <c r="CI8" s="7" t="s">
        <v>336</v>
      </c>
      <c r="CM8" s="7" t="s">
        <v>337</v>
      </c>
      <c r="CO8" s="7" t="s">
        <v>556</v>
      </c>
      <c r="CR8" s="7" t="s">
        <v>130</v>
      </c>
      <c r="CS8" s="7" t="s">
        <v>579</v>
      </c>
    </row>
    <row r="9" spans="1:97" ht="63.75" x14ac:dyDescent="0.2">
      <c r="A9" s="6" t="s">
        <v>31</v>
      </c>
      <c r="B9" s="7" t="s">
        <v>251</v>
      </c>
      <c r="C9" s="7" t="s">
        <v>331</v>
      </c>
      <c r="D9" s="7" t="s">
        <v>2777</v>
      </c>
      <c r="F9" s="7" t="s">
        <v>334</v>
      </c>
      <c r="I9" s="7" t="s">
        <v>251</v>
      </c>
      <c r="J9" s="7" t="s">
        <v>572</v>
      </c>
      <c r="K9" s="7" t="s">
        <v>2876</v>
      </c>
      <c r="M9" s="7" t="s">
        <v>539</v>
      </c>
      <c r="N9" s="13"/>
      <c r="O9" s="13">
        <v>20</v>
      </c>
      <c r="P9" s="7" t="s">
        <v>251</v>
      </c>
      <c r="Q9" s="13">
        <v>50</v>
      </c>
      <c r="U9" s="13"/>
      <c r="V9" s="7" t="s">
        <v>544</v>
      </c>
      <c r="X9" s="14">
        <v>1200</v>
      </c>
      <c r="Y9" s="14"/>
      <c r="Z9" s="14"/>
      <c r="AA9" s="14"/>
      <c r="AB9" s="14"/>
      <c r="AC9" s="14"/>
      <c r="AD9" s="7" t="s">
        <v>251</v>
      </c>
      <c r="AF9" s="7" t="s">
        <v>340</v>
      </c>
      <c r="AG9" s="7" t="s">
        <v>380</v>
      </c>
      <c r="AH9" s="15"/>
      <c r="AI9" s="13"/>
      <c r="AK9" s="7" t="s">
        <v>573</v>
      </c>
      <c r="AL9" s="7" t="s">
        <v>340</v>
      </c>
      <c r="AM9" s="7" t="s">
        <v>340</v>
      </c>
      <c r="AN9" s="7" t="s">
        <v>340</v>
      </c>
      <c r="AR9" s="7" t="s">
        <v>343</v>
      </c>
      <c r="AW9" s="7" t="s">
        <v>350</v>
      </c>
      <c r="AY9" s="7" t="s">
        <v>251</v>
      </c>
      <c r="AZ9" s="7" t="s">
        <v>331</v>
      </c>
      <c r="BA9" s="7" t="s">
        <v>2777</v>
      </c>
      <c r="BC9" s="7" t="s">
        <v>334</v>
      </c>
      <c r="BF9" s="7" t="s">
        <v>251</v>
      </c>
      <c r="BG9" s="7" t="s">
        <v>574</v>
      </c>
      <c r="BH9" s="7" t="s">
        <v>251</v>
      </c>
      <c r="BI9" s="13"/>
      <c r="BJ9" s="7" t="s">
        <v>2866</v>
      </c>
      <c r="BL9" s="7" t="s">
        <v>536</v>
      </c>
      <c r="BM9" s="7" t="s">
        <v>536</v>
      </c>
      <c r="BO9" s="7" t="s">
        <v>536</v>
      </c>
      <c r="BS9" s="14">
        <v>150</v>
      </c>
      <c r="BT9" s="14">
        <v>150</v>
      </c>
      <c r="BU9" s="14"/>
      <c r="BV9" s="14">
        <v>150</v>
      </c>
      <c r="BW9" s="14"/>
      <c r="BX9" s="14"/>
      <c r="BY9" s="7" t="s">
        <v>251</v>
      </c>
      <c r="CA9" s="7" t="s">
        <v>340</v>
      </c>
      <c r="CB9" s="7" t="s">
        <v>380</v>
      </c>
      <c r="CC9" s="14"/>
      <c r="CD9" s="13"/>
      <c r="CF9" s="7" t="s">
        <v>575</v>
      </c>
      <c r="CG9" s="7" t="s">
        <v>340</v>
      </c>
      <c r="CH9" s="7" t="s">
        <v>340</v>
      </c>
      <c r="CI9" s="7" t="s">
        <v>340</v>
      </c>
      <c r="CL9" s="7" t="s">
        <v>576</v>
      </c>
      <c r="CM9" s="7" t="s">
        <v>343</v>
      </c>
      <c r="CR9" s="7" t="s">
        <v>350</v>
      </c>
    </row>
    <row r="10" spans="1:97" ht="63.75" x14ac:dyDescent="0.2">
      <c r="A10" s="6" t="s">
        <v>46</v>
      </c>
      <c r="B10" s="7" t="s">
        <v>251</v>
      </c>
      <c r="C10" s="7" t="s">
        <v>331</v>
      </c>
      <c r="D10" s="7" t="s">
        <v>2777</v>
      </c>
      <c r="F10" s="7" t="s">
        <v>334</v>
      </c>
      <c r="I10" s="7" t="s">
        <v>334</v>
      </c>
      <c r="K10" s="7" t="s">
        <v>2882</v>
      </c>
      <c r="M10" s="7" t="s">
        <v>334</v>
      </c>
      <c r="N10" s="13"/>
      <c r="O10" s="13"/>
      <c r="P10" s="7" t="s">
        <v>251</v>
      </c>
      <c r="Q10" s="13">
        <v>50</v>
      </c>
      <c r="U10" s="13"/>
      <c r="V10" s="7" t="s">
        <v>544</v>
      </c>
      <c r="X10" s="14">
        <v>1500</v>
      </c>
      <c r="Y10" s="14"/>
      <c r="Z10" s="14"/>
      <c r="AA10" s="14"/>
      <c r="AB10" s="14"/>
      <c r="AC10" s="14"/>
      <c r="AD10" s="7" t="s">
        <v>251</v>
      </c>
      <c r="AF10" s="7" t="s">
        <v>336</v>
      </c>
      <c r="AH10" s="15"/>
      <c r="AI10" s="13"/>
      <c r="AL10" s="7" t="s">
        <v>336</v>
      </c>
      <c r="AM10" s="7" t="s">
        <v>336</v>
      </c>
      <c r="AN10" s="7" t="s">
        <v>336</v>
      </c>
      <c r="AR10" s="7" t="s">
        <v>337</v>
      </c>
      <c r="AT10" s="7" t="s">
        <v>556</v>
      </c>
      <c r="AW10" s="7" t="s">
        <v>338</v>
      </c>
      <c r="AY10" s="7" t="s">
        <v>251</v>
      </c>
      <c r="AZ10" s="7" t="s">
        <v>331</v>
      </c>
      <c r="BA10" s="7" t="s">
        <v>2777</v>
      </c>
      <c r="BC10" s="7" t="s">
        <v>334</v>
      </c>
      <c r="BF10" s="7" t="s">
        <v>334</v>
      </c>
      <c r="BH10" s="7" t="s">
        <v>334</v>
      </c>
      <c r="BI10" s="13"/>
      <c r="BJ10" s="7" t="s">
        <v>2864</v>
      </c>
      <c r="BL10" s="7" t="s">
        <v>536</v>
      </c>
      <c r="BM10" s="7" t="s">
        <v>536</v>
      </c>
      <c r="BN10" s="7" t="s">
        <v>536</v>
      </c>
      <c r="BO10" s="7" t="s">
        <v>536</v>
      </c>
      <c r="BS10" s="14">
        <v>200</v>
      </c>
      <c r="BT10" s="14">
        <v>200</v>
      </c>
      <c r="BU10" s="14">
        <v>200</v>
      </c>
      <c r="BV10" s="14">
        <v>200</v>
      </c>
      <c r="BW10" s="14"/>
      <c r="BX10" s="14"/>
      <c r="BY10" s="7" t="s">
        <v>251</v>
      </c>
      <c r="CA10" s="7" t="s">
        <v>336</v>
      </c>
      <c r="CC10" s="14"/>
      <c r="CD10" s="13"/>
      <c r="CG10" s="7" t="s">
        <v>336</v>
      </c>
      <c r="CH10" s="7" t="s">
        <v>336</v>
      </c>
      <c r="CI10" s="7" t="s">
        <v>336</v>
      </c>
      <c r="CM10" s="7" t="s">
        <v>337</v>
      </c>
      <c r="CO10" s="7" t="s">
        <v>535</v>
      </c>
      <c r="CR10" s="7" t="s">
        <v>338</v>
      </c>
    </row>
    <row r="11" spans="1:97" ht="63.75" x14ac:dyDescent="0.2">
      <c r="A11" s="6" t="s">
        <v>42</v>
      </c>
      <c r="B11" s="7" t="s">
        <v>251</v>
      </c>
      <c r="C11" s="7" t="s">
        <v>331</v>
      </c>
      <c r="D11" s="7" t="s">
        <v>2777</v>
      </c>
      <c r="F11" s="7" t="s">
        <v>334</v>
      </c>
      <c r="I11" s="7" t="s">
        <v>334</v>
      </c>
      <c r="K11" s="7" t="s">
        <v>2869</v>
      </c>
      <c r="M11" s="7" t="s">
        <v>334</v>
      </c>
      <c r="N11" s="13"/>
      <c r="O11" s="13"/>
      <c r="P11" s="7" t="s">
        <v>251</v>
      </c>
      <c r="Q11" s="13">
        <v>50</v>
      </c>
      <c r="R11" s="7" t="s">
        <v>540</v>
      </c>
      <c r="T11" s="7" t="s">
        <v>251</v>
      </c>
      <c r="U11" s="13">
        <v>50</v>
      </c>
      <c r="V11" s="7" t="s">
        <v>2861</v>
      </c>
      <c r="X11" s="14"/>
      <c r="Y11" s="14">
        <v>2500</v>
      </c>
      <c r="Z11" s="14">
        <v>2500</v>
      </c>
      <c r="AA11" s="14">
        <v>2500</v>
      </c>
      <c r="AB11" s="14">
        <v>2000</v>
      </c>
      <c r="AC11" s="14"/>
      <c r="AD11" s="7" t="s">
        <v>251</v>
      </c>
      <c r="AF11" s="7" t="s">
        <v>336</v>
      </c>
      <c r="AH11" s="15"/>
      <c r="AI11" s="13"/>
      <c r="AL11" s="7" t="s">
        <v>336</v>
      </c>
      <c r="AM11" s="7" t="s">
        <v>336</v>
      </c>
      <c r="AN11" s="7" t="s">
        <v>336</v>
      </c>
      <c r="AR11" s="7" t="s">
        <v>337</v>
      </c>
      <c r="AT11" s="7" t="s">
        <v>556</v>
      </c>
      <c r="AW11" s="7" t="s">
        <v>338</v>
      </c>
      <c r="AY11" s="7" t="s">
        <v>251</v>
      </c>
      <c r="AZ11" s="7" t="s">
        <v>331</v>
      </c>
      <c r="BA11" s="7" t="s">
        <v>2777</v>
      </c>
      <c r="BC11" s="7" t="s">
        <v>334</v>
      </c>
      <c r="BF11" s="7" t="s">
        <v>334</v>
      </c>
      <c r="BH11" s="7" t="s">
        <v>334</v>
      </c>
      <c r="BI11" s="13"/>
      <c r="BJ11" s="7" t="s">
        <v>2864</v>
      </c>
      <c r="BL11" s="7" t="s">
        <v>536</v>
      </c>
      <c r="BM11" s="7" t="s">
        <v>536</v>
      </c>
      <c r="BN11" s="7" t="s">
        <v>536</v>
      </c>
      <c r="BO11" s="7" t="s">
        <v>536</v>
      </c>
      <c r="BS11" s="14">
        <v>200</v>
      </c>
      <c r="BT11" s="14">
        <v>200</v>
      </c>
      <c r="BU11" s="14"/>
      <c r="BV11" s="14">
        <v>200</v>
      </c>
      <c r="BW11" s="14"/>
      <c r="BX11" s="14"/>
      <c r="BY11" s="7" t="s">
        <v>251</v>
      </c>
      <c r="CA11" s="7" t="s">
        <v>336</v>
      </c>
      <c r="CC11" s="14"/>
      <c r="CD11" s="13"/>
      <c r="CG11" s="7" t="s">
        <v>336</v>
      </c>
      <c r="CH11" s="7" t="s">
        <v>336</v>
      </c>
      <c r="CI11" s="7" t="s">
        <v>336</v>
      </c>
      <c r="CM11" s="7" t="s">
        <v>337</v>
      </c>
      <c r="CO11" s="7" t="s">
        <v>535</v>
      </c>
      <c r="CR11" s="7" t="s">
        <v>338</v>
      </c>
    </row>
    <row r="12" spans="1:97" ht="76.5" x14ac:dyDescent="0.2">
      <c r="A12" s="6" t="s">
        <v>33</v>
      </c>
      <c r="B12" s="7" t="s">
        <v>251</v>
      </c>
      <c r="C12" s="7" t="s">
        <v>331</v>
      </c>
      <c r="D12" s="7" t="s">
        <v>2777</v>
      </c>
      <c r="F12" s="7" t="s">
        <v>334</v>
      </c>
      <c r="I12" s="7" t="s">
        <v>251</v>
      </c>
      <c r="J12" s="7" t="s">
        <v>577</v>
      </c>
      <c r="K12" s="7" t="s">
        <v>2868</v>
      </c>
      <c r="M12" s="7" t="s">
        <v>539</v>
      </c>
      <c r="N12" s="13">
        <v>20</v>
      </c>
      <c r="O12" s="13">
        <v>20</v>
      </c>
      <c r="P12" s="7" t="s">
        <v>251</v>
      </c>
      <c r="Q12" s="13">
        <v>50</v>
      </c>
      <c r="R12" s="7" t="s">
        <v>540</v>
      </c>
      <c r="T12" s="7" t="s">
        <v>251</v>
      </c>
      <c r="U12" s="13">
        <v>50</v>
      </c>
      <c r="V12" s="7" t="s">
        <v>2861</v>
      </c>
      <c r="X12" s="14"/>
      <c r="Y12" s="14">
        <v>1800</v>
      </c>
      <c r="Z12" s="14">
        <v>1800</v>
      </c>
      <c r="AA12" s="14">
        <v>2500</v>
      </c>
      <c r="AB12" s="14">
        <v>2500</v>
      </c>
      <c r="AC12" s="14"/>
      <c r="AD12" s="7" t="s">
        <v>251</v>
      </c>
      <c r="AF12" s="7" t="s">
        <v>340</v>
      </c>
      <c r="AG12" s="7" t="s">
        <v>341</v>
      </c>
      <c r="AH12" s="15"/>
      <c r="AI12" s="13"/>
      <c r="AL12" s="7" t="s">
        <v>340</v>
      </c>
      <c r="AM12" s="7" t="s">
        <v>340</v>
      </c>
      <c r="AN12" s="7" t="s">
        <v>340</v>
      </c>
      <c r="AR12" s="7" t="s">
        <v>343</v>
      </c>
      <c r="AW12" s="7" t="s">
        <v>350</v>
      </c>
      <c r="AY12" s="7" t="s">
        <v>251</v>
      </c>
      <c r="AZ12" s="7" t="s">
        <v>331</v>
      </c>
      <c r="BA12" s="7" t="s">
        <v>2777</v>
      </c>
      <c r="BC12" s="7" t="s">
        <v>334</v>
      </c>
      <c r="BF12" s="7" t="s">
        <v>251</v>
      </c>
      <c r="BG12" s="7" t="s">
        <v>578</v>
      </c>
      <c r="BH12" s="7" t="s">
        <v>251</v>
      </c>
      <c r="BI12" s="13">
        <v>20</v>
      </c>
      <c r="BJ12" s="7" t="s">
        <v>2864</v>
      </c>
      <c r="BL12" s="7" t="s">
        <v>536</v>
      </c>
      <c r="BM12" s="7" t="s">
        <v>536</v>
      </c>
      <c r="BN12" s="7" t="s">
        <v>537</v>
      </c>
      <c r="BO12" s="7" t="s">
        <v>536</v>
      </c>
      <c r="BS12" s="14">
        <v>250</v>
      </c>
      <c r="BT12" s="14">
        <v>250</v>
      </c>
      <c r="BU12" s="14">
        <v>250</v>
      </c>
      <c r="BV12" s="14">
        <v>250</v>
      </c>
      <c r="BW12" s="14"/>
      <c r="BX12" s="14"/>
      <c r="BY12" s="7" t="s">
        <v>251</v>
      </c>
      <c r="CA12" s="7" t="s">
        <v>340</v>
      </c>
      <c r="CB12" s="7" t="s">
        <v>341</v>
      </c>
      <c r="CC12" s="14"/>
      <c r="CD12" s="13"/>
      <c r="CG12" s="7" t="s">
        <v>340</v>
      </c>
      <c r="CH12" s="7" t="s">
        <v>340</v>
      </c>
      <c r="CI12" s="7" t="s">
        <v>340</v>
      </c>
      <c r="CM12" s="7" t="s">
        <v>343</v>
      </c>
      <c r="CR12" s="7" t="s">
        <v>350</v>
      </c>
    </row>
    <row r="13" spans="1:97" ht="63.75" x14ac:dyDescent="0.2">
      <c r="A13" s="6" t="s">
        <v>55</v>
      </c>
      <c r="B13" s="7" t="s">
        <v>251</v>
      </c>
      <c r="C13" s="7" t="s">
        <v>331</v>
      </c>
      <c r="D13" s="7" t="s">
        <v>2777</v>
      </c>
      <c r="F13" s="7" t="s">
        <v>334</v>
      </c>
      <c r="I13" s="7" t="s">
        <v>334</v>
      </c>
      <c r="K13" s="7" t="s">
        <v>2872</v>
      </c>
      <c r="M13" s="7" t="s">
        <v>539</v>
      </c>
      <c r="N13" s="13">
        <v>10</v>
      </c>
      <c r="O13" s="13">
        <v>10</v>
      </c>
      <c r="P13" s="7" t="s">
        <v>251</v>
      </c>
      <c r="Q13" s="13">
        <v>50</v>
      </c>
      <c r="R13" s="7" t="s">
        <v>534</v>
      </c>
      <c r="T13" s="7" t="s">
        <v>251</v>
      </c>
      <c r="U13" s="13">
        <v>40</v>
      </c>
      <c r="V13" s="7" t="s">
        <v>2856</v>
      </c>
      <c r="X13" s="14">
        <v>2000</v>
      </c>
      <c r="Y13" s="14"/>
      <c r="Z13" s="14"/>
      <c r="AA13" s="14"/>
      <c r="AB13" s="14">
        <v>2000</v>
      </c>
      <c r="AC13" s="14"/>
      <c r="AD13" s="7" t="s">
        <v>251</v>
      </c>
      <c r="AF13" s="7" t="s">
        <v>336</v>
      </c>
      <c r="AH13" s="15"/>
      <c r="AI13" s="13"/>
      <c r="AL13" s="7" t="s">
        <v>336</v>
      </c>
      <c r="AM13" s="7" t="s">
        <v>336</v>
      </c>
      <c r="AN13" s="7" t="s">
        <v>336</v>
      </c>
      <c r="AR13" s="7" t="s">
        <v>337</v>
      </c>
      <c r="AT13" s="7" t="s">
        <v>535</v>
      </c>
      <c r="AW13" s="7" t="s">
        <v>350</v>
      </c>
      <c r="AY13" s="7" t="s">
        <v>251</v>
      </c>
      <c r="AZ13" s="7" t="s">
        <v>331</v>
      </c>
      <c r="BA13" s="7" t="s">
        <v>2777</v>
      </c>
      <c r="BC13" s="7" t="s">
        <v>334</v>
      </c>
      <c r="BF13" s="7" t="s">
        <v>334</v>
      </c>
      <c r="BH13" s="7" t="s">
        <v>334</v>
      </c>
      <c r="BI13" s="13"/>
      <c r="BJ13" s="7" t="s">
        <v>2864</v>
      </c>
      <c r="BL13" s="7" t="s">
        <v>536</v>
      </c>
      <c r="BM13" s="7" t="s">
        <v>536</v>
      </c>
      <c r="BN13" s="7" t="s">
        <v>609</v>
      </c>
      <c r="BO13" s="7" t="s">
        <v>536</v>
      </c>
      <c r="BS13" s="14">
        <v>150</v>
      </c>
      <c r="BT13" s="14">
        <v>150</v>
      </c>
      <c r="BU13" s="14"/>
      <c r="BV13" s="14">
        <v>150</v>
      </c>
      <c r="BW13" s="14"/>
      <c r="BX13" s="14"/>
      <c r="BY13" s="7" t="s">
        <v>251</v>
      </c>
      <c r="CA13" s="7" t="s">
        <v>336</v>
      </c>
      <c r="CC13" s="14"/>
      <c r="CD13" s="13"/>
      <c r="CG13" s="7" t="s">
        <v>336</v>
      </c>
      <c r="CH13" s="7" t="s">
        <v>336</v>
      </c>
      <c r="CI13" s="7" t="s">
        <v>336</v>
      </c>
      <c r="CM13" s="7" t="s">
        <v>337</v>
      </c>
      <c r="CO13" s="7" t="s">
        <v>535</v>
      </c>
      <c r="CR13" s="7" t="s">
        <v>350</v>
      </c>
    </row>
    <row r="14" spans="1:97" ht="89.25" x14ac:dyDescent="0.2">
      <c r="A14" s="6" t="s">
        <v>48</v>
      </c>
      <c r="B14" s="7" t="s">
        <v>251</v>
      </c>
      <c r="C14" s="7" t="s">
        <v>331</v>
      </c>
      <c r="D14" s="7" t="s">
        <v>2778</v>
      </c>
      <c r="F14" s="7" t="s">
        <v>334</v>
      </c>
      <c r="I14" s="7" t="s">
        <v>334</v>
      </c>
      <c r="K14" s="7" t="s">
        <v>2884</v>
      </c>
      <c r="L14" s="7" t="s">
        <v>600</v>
      </c>
      <c r="M14" s="7" t="s">
        <v>334</v>
      </c>
      <c r="N14" s="13"/>
      <c r="O14" s="13"/>
      <c r="P14" s="7" t="s">
        <v>334</v>
      </c>
      <c r="Q14" s="13"/>
      <c r="R14" s="7" t="s">
        <v>540</v>
      </c>
      <c r="T14" s="7" t="s">
        <v>334</v>
      </c>
      <c r="U14" s="13"/>
      <c r="V14" s="7" t="s">
        <v>2892</v>
      </c>
      <c r="W14" s="7" t="s">
        <v>601</v>
      </c>
      <c r="X14" s="14">
        <v>3000</v>
      </c>
      <c r="Y14" s="14"/>
      <c r="Z14" s="14"/>
      <c r="AA14" s="14"/>
      <c r="AB14" s="14">
        <v>3000</v>
      </c>
      <c r="AC14" s="14"/>
      <c r="AD14" s="7" t="s">
        <v>251</v>
      </c>
      <c r="AF14" s="7" t="s">
        <v>336</v>
      </c>
      <c r="AH14" s="15"/>
      <c r="AI14" s="13"/>
      <c r="AL14" s="7" t="s">
        <v>336</v>
      </c>
      <c r="AN14" s="7" t="s">
        <v>336</v>
      </c>
      <c r="AR14" s="7" t="s">
        <v>343</v>
      </c>
      <c r="AW14" s="7" t="s">
        <v>130</v>
      </c>
      <c r="AX14" s="7" t="s">
        <v>410</v>
      </c>
      <c r="AY14" s="7" t="s">
        <v>251</v>
      </c>
      <c r="AZ14" s="7" t="s">
        <v>331</v>
      </c>
      <c r="BA14" s="7" t="s">
        <v>2777</v>
      </c>
      <c r="BC14" s="7" t="s">
        <v>334</v>
      </c>
      <c r="BF14" s="7" t="s">
        <v>334</v>
      </c>
      <c r="BH14" s="7" t="s">
        <v>334</v>
      </c>
      <c r="BI14" s="13"/>
      <c r="BJ14" s="7" t="s">
        <v>2864</v>
      </c>
      <c r="BL14" s="7" t="s">
        <v>536</v>
      </c>
      <c r="BM14" s="7" t="s">
        <v>536</v>
      </c>
      <c r="BN14" s="7" t="s">
        <v>536</v>
      </c>
      <c r="BO14" s="7" t="s">
        <v>536</v>
      </c>
      <c r="BS14" s="14">
        <v>300</v>
      </c>
      <c r="BT14" s="14">
        <v>300</v>
      </c>
      <c r="BU14" s="14">
        <v>60</v>
      </c>
      <c r="BV14" s="14">
        <v>300</v>
      </c>
      <c r="BW14" s="14"/>
      <c r="BX14" s="14"/>
      <c r="BY14" s="7" t="s">
        <v>334</v>
      </c>
      <c r="BZ14" s="7" t="s">
        <v>602</v>
      </c>
      <c r="CA14" s="7" t="s">
        <v>336</v>
      </c>
      <c r="CC14" s="14"/>
      <c r="CD14" s="13"/>
      <c r="CG14" s="7" t="s">
        <v>336</v>
      </c>
      <c r="CH14" s="7" t="s">
        <v>336</v>
      </c>
      <c r="CI14" s="7" t="s">
        <v>336</v>
      </c>
      <c r="CM14" s="7" t="s">
        <v>343</v>
      </c>
      <c r="CR14" s="7" t="s">
        <v>130</v>
      </c>
      <c r="CS14" s="7" t="s">
        <v>410</v>
      </c>
    </row>
    <row r="15" spans="1:97" ht="76.5" x14ac:dyDescent="0.2">
      <c r="A15" s="6" t="s">
        <v>57</v>
      </c>
      <c r="B15" s="7" t="s">
        <v>251</v>
      </c>
      <c r="C15" s="7" t="s">
        <v>331</v>
      </c>
      <c r="D15" s="7" t="s">
        <v>2777</v>
      </c>
      <c r="F15" s="7" t="s">
        <v>334</v>
      </c>
      <c r="I15" s="7" t="s">
        <v>334</v>
      </c>
      <c r="K15" s="7" t="s">
        <v>2887</v>
      </c>
      <c r="M15" s="7" t="s">
        <v>334</v>
      </c>
      <c r="N15" s="13"/>
      <c r="O15" s="13"/>
      <c r="P15" s="7" t="s">
        <v>251</v>
      </c>
      <c r="Q15" s="13">
        <v>50</v>
      </c>
      <c r="R15" s="7" t="s">
        <v>534</v>
      </c>
      <c r="T15" s="7" t="s">
        <v>251</v>
      </c>
      <c r="U15" s="13">
        <v>50</v>
      </c>
      <c r="V15" s="7" t="s">
        <v>544</v>
      </c>
      <c r="X15" s="14">
        <v>2000</v>
      </c>
      <c r="Y15" s="14"/>
      <c r="Z15" s="14"/>
      <c r="AA15" s="14"/>
      <c r="AB15" s="14"/>
      <c r="AC15" s="14"/>
      <c r="AD15" s="7" t="s">
        <v>251</v>
      </c>
      <c r="AF15" s="7" t="s">
        <v>336</v>
      </c>
      <c r="AH15" s="15"/>
      <c r="AI15" s="13"/>
      <c r="AL15" s="7" t="s">
        <v>336</v>
      </c>
      <c r="AM15" s="7" t="s">
        <v>336</v>
      </c>
      <c r="AN15" s="7" t="s">
        <v>336</v>
      </c>
      <c r="AR15" s="7" t="s">
        <v>337</v>
      </c>
      <c r="AT15" s="7" t="s">
        <v>535</v>
      </c>
      <c r="AW15" s="7" t="s">
        <v>344</v>
      </c>
      <c r="AY15" s="7" t="s">
        <v>251</v>
      </c>
      <c r="AZ15" s="7" t="s">
        <v>331</v>
      </c>
      <c r="BA15" s="7" t="s">
        <v>2777</v>
      </c>
      <c r="BC15" s="7" t="s">
        <v>334</v>
      </c>
      <c r="BF15" s="7" t="s">
        <v>334</v>
      </c>
      <c r="BH15" s="7" t="s">
        <v>334</v>
      </c>
      <c r="BI15" s="13"/>
      <c r="BJ15" s="7" t="s">
        <v>2894</v>
      </c>
      <c r="BK15" s="7" t="s">
        <v>612</v>
      </c>
      <c r="BL15" s="7" t="s">
        <v>537</v>
      </c>
      <c r="BM15" s="7" t="s">
        <v>537</v>
      </c>
      <c r="BN15" s="7" t="s">
        <v>537</v>
      </c>
      <c r="BQ15" s="7" t="s">
        <v>537</v>
      </c>
      <c r="BS15" s="14">
        <v>200</v>
      </c>
      <c r="BT15" s="14">
        <v>200</v>
      </c>
      <c r="BU15" s="14">
        <v>200</v>
      </c>
      <c r="BV15" s="14"/>
      <c r="BW15" s="14"/>
      <c r="BX15" s="14">
        <v>200</v>
      </c>
      <c r="BY15" s="7" t="s">
        <v>251</v>
      </c>
      <c r="CA15" s="7" t="s">
        <v>336</v>
      </c>
      <c r="CC15" s="14"/>
      <c r="CD15" s="13"/>
      <c r="CG15" s="7" t="s">
        <v>336</v>
      </c>
      <c r="CH15" s="7" t="s">
        <v>336</v>
      </c>
      <c r="CI15" s="7" t="s">
        <v>336</v>
      </c>
      <c r="CM15" s="7" t="s">
        <v>337</v>
      </c>
      <c r="CO15" s="7" t="s">
        <v>535</v>
      </c>
      <c r="CR15" s="7" t="s">
        <v>344</v>
      </c>
    </row>
    <row r="16" spans="1:97" ht="76.5" x14ac:dyDescent="0.2">
      <c r="A16" s="6" t="s">
        <v>54</v>
      </c>
      <c r="B16" s="7" t="s">
        <v>251</v>
      </c>
      <c r="C16" s="7" t="s">
        <v>331</v>
      </c>
      <c r="D16" s="7" t="s">
        <v>2777</v>
      </c>
      <c r="F16" s="7" t="s">
        <v>334</v>
      </c>
      <c r="I16" s="7" t="s">
        <v>334</v>
      </c>
      <c r="K16" s="7" t="s">
        <v>2868</v>
      </c>
      <c r="M16" s="7" t="s">
        <v>334</v>
      </c>
      <c r="N16" s="13"/>
      <c r="O16" s="13"/>
      <c r="P16" s="7" t="s">
        <v>251</v>
      </c>
      <c r="Q16" s="13">
        <v>40</v>
      </c>
      <c r="R16" s="7" t="s">
        <v>534</v>
      </c>
      <c r="T16" s="7" t="s">
        <v>251</v>
      </c>
      <c r="U16" s="13">
        <v>40</v>
      </c>
      <c r="V16" s="7" t="s">
        <v>2856</v>
      </c>
      <c r="X16" s="14">
        <v>2000</v>
      </c>
      <c r="Y16" s="14"/>
      <c r="Z16" s="14"/>
      <c r="AA16" s="14"/>
      <c r="AB16" s="14">
        <v>2000</v>
      </c>
      <c r="AC16" s="14"/>
      <c r="AD16" s="7" t="s">
        <v>334</v>
      </c>
      <c r="AE16" s="7" t="s">
        <v>608</v>
      </c>
      <c r="AF16" s="7" t="s">
        <v>336</v>
      </c>
      <c r="AH16" s="15"/>
      <c r="AI16" s="13"/>
      <c r="AL16" s="7" t="s">
        <v>336</v>
      </c>
      <c r="AM16" s="7" t="s">
        <v>336</v>
      </c>
      <c r="AN16" s="7" t="s">
        <v>336</v>
      </c>
      <c r="AR16" s="7" t="s">
        <v>337</v>
      </c>
      <c r="AT16" s="7" t="s">
        <v>535</v>
      </c>
      <c r="AW16" s="7" t="s">
        <v>350</v>
      </c>
      <c r="AY16" s="7" t="s">
        <v>251</v>
      </c>
      <c r="AZ16" s="7" t="s">
        <v>331</v>
      </c>
      <c r="BA16" s="7" t="s">
        <v>2777</v>
      </c>
      <c r="BC16" s="7" t="s">
        <v>334</v>
      </c>
      <c r="BF16" s="7" t="s">
        <v>334</v>
      </c>
      <c r="BH16" s="7" t="s">
        <v>334</v>
      </c>
      <c r="BI16" s="13"/>
      <c r="BJ16" s="7" t="s">
        <v>2864</v>
      </c>
      <c r="BL16" s="7" t="s">
        <v>536</v>
      </c>
      <c r="BM16" s="7" t="s">
        <v>536</v>
      </c>
      <c r="BN16" s="7" t="s">
        <v>536</v>
      </c>
      <c r="BO16" s="7" t="s">
        <v>536</v>
      </c>
      <c r="BS16" s="14">
        <v>300</v>
      </c>
      <c r="BT16" s="14">
        <v>300</v>
      </c>
      <c r="BU16" s="14"/>
      <c r="BV16" s="14">
        <v>300</v>
      </c>
      <c r="BW16" s="14"/>
      <c r="BX16" s="14"/>
      <c r="BY16" s="7" t="s">
        <v>251</v>
      </c>
      <c r="CA16" s="7" t="s">
        <v>336</v>
      </c>
      <c r="CC16" s="14"/>
      <c r="CD16" s="13"/>
      <c r="CG16" s="7" t="s">
        <v>336</v>
      </c>
      <c r="CH16" s="7" t="s">
        <v>336</v>
      </c>
      <c r="CI16" s="7" t="s">
        <v>336</v>
      </c>
      <c r="CM16" s="7" t="s">
        <v>337</v>
      </c>
      <c r="CO16" s="7" t="s">
        <v>535</v>
      </c>
      <c r="CR16" s="7" t="s">
        <v>350</v>
      </c>
    </row>
    <row r="17" spans="1:97" ht="76.5" x14ac:dyDescent="0.2">
      <c r="A17" s="6" t="s">
        <v>23</v>
      </c>
      <c r="B17" s="7" t="s">
        <v>251</v>
      </c>
      <c r="C17" s="7" t="s">
        <v>331</v>
      </c>
      <c r="D17" s="7" t="s">
        <v>2777</v>
      </c>
      <c r="F17" s="7" t="s">
        <v>334</v>
      </c>
      <c r="I17" s="7" t="s">
        <v>334</v>
      </c>
      <c r="K17" s="7" t="s">
        <v>2868</v>
      </c>
      <c r="M17" s="7" t="s">
        <v>334</v>
      </c>
      <c r="N17" s="13"/>
      <c r="O17" s="13"/>
      <c r="P17" s="7" t="s">
        <v>334</v>
      </c>
      <c r="Q17" s="13"/>
      <c r="R17" s="7" t="s">
        <v>540</v>
      </c>
      <c r="U17" s="13"/>
      <c r="V17" s="7" t="s">
        <v>544</v>
      </c>
      <c r="X17" s="14">
        <v>2000</v>
      </c>
      <c r="Y17" s="14"/>
      <c r="Z17" s="14"/>
      <c r="AA17" s="14"/>
      <c r="AB17" s="14"/>
      <c r="AC17" s="14"/>
      <c r="AD17" s="7" t="s">
        <v>251</v>
      </c>
      <c r="AF17" s="7" t="s">
        <v>336</v>
      </c>
      <c r="AH17" s="15"/>
      <c r="AI17" s="13"/>
      <c r="AL17" s="7" t="s">
        <v>336</v>
      </c>
      <c r="AM17" s="7" t="s">
        <v>336</v>
      </c>
      <c r="AN17" s="7" t="s">
        <v>336</v>
      </c>
      <c r="AR17" s="7" t="s">
        <v>343</v>
      </c>
      <c r="AW17" s="7" t="s">
        <v>344</v>
      </c>
      <c r="AY17" s="7" t="s">
        <v>251</v>
      </c>
      <c r="AZ17" s="7" t="s">
        <v>331</v>
      </c>
      <c r="BA17" s="7" t="s">
        <v>2777</v>
      </c>
      <c r="BC17" s="7" t="s">
        <v>334</v>
      </c>
      <c r="BF17" s="7" t="s">
        <v>334</v>
      </c>
      <c r="BH17" s="7" t="s">
        <v>334</v>
      </c>
      <c r="BI17" s="13"/>
      <c r="BJ17" s="7" t="s">
        <v>2893</v>
      </c>
      <c r="BK17" s="7" t="s">
        <v>558</v>
      </c>
      <c r="BL17" s="7" t="s">
        <v>536</v>
      </c>
      <c r="BM17" s="7" t="s">
        <v>536</v>
      </c>
      <c r="BN17" s="7" t="s">
        <v>536</v>
      </c>
      <c r="BO17" s="7" t="s">
        <v>536</v>
      </c>
      <c r="BQ17" s="7" t="s">
        <v>536</v>
      </c>
      <c r="BS17" s="14">
        <v>250</v>
      </c>
      <c r="BT17" s="14">
        <v>250</v>
      </c>
      <c r="BU17" s="14">
        <v>250</v>
      </c>
      <c r="BV17" s="14">
        <v>250</v>
      </c>
      <c r="BW17" s="14"/>
      <c r="BX17" s="14">
        <v>250</v>
      </c>
      <c r="BY17" s="7" t="s">
        <v>251</v>
      </c>
      <c r="CA17" s="7" t="s">
        <v>336</v>
      </c>
      <c r="CC17" s="14"/>
      <c r="CD17" s="13"/>
      <c r="CG17" s="7" t="s">
        <v>336</v>
      </c>
      <c r="CH17" s="7" t="s">
        <v>336</v>
      </c>
      <c r="CI17" s="7" t="s">
        <v>336</v>
      </c>
      <c r="CM17" s="7" t="s">
        <v>343</v>
      </c>
      <c r="CR17" s="7" t="s">
        <v>344</v>
      </c>
    </row>
    <row r="18" spans="1:97" ht="63.75" x14ac:dyDescent="0.2">
      <c r="A18" s="6" t="s">
        <v>27</v>
      </c>
      <c r="B18" s="7" t="s">
        <v>251</v>
      </c>
      <c r="C18" s="7" t="s">
        <v>331</v>
      </c>
      <c r="D18" s="7" t="s">
        <v>2777</v>
      </c>
      <c r="F18" s="7" t="s">
        <v>334</v>
      </c>
      <c r="I18" s="7" t="s">
        <v>334</v>
      </c>
      <c r="K18" s="7" t="s">
        <v>2872</v>
      </c>
      <c r="M18" s="7" t="s">
        <v>334</v>
      </c>
      <c r="N18" s="13"/>
      <c r="O18" s="13"/>
      <c r="P18" s="7" t="s">
        <v>251</v>
      </c>
      <c r="Q18" s="13">
        <v>50</v>
      </c>
      <c r="R18" s="7" t="s">
        <v>540</v>
      </c>
      <c r="T18" s="7" t="s">
        <v>251</v>
      </c>
      <c r="U18" s="13">
        <v>50</v>
      </c>
      <c r="V18" s="7" t="s">
        <v>2860</v>
      </c>
      <c r="X18" s="14"/>
      <c r="Y18" s="14">
        <v>1500</v>
      </c>
      <c r="Z18" s="14"/>
      <c r="AA18" s="14">
        <v>1500</v>
      </c>
      <c r="AB18" s="14">
        <v>2500</v>
      </c>
      <c r="AC18" s="14"/>
      <c r="AD18" s="7" t="s">
        <v>251</v>
      </c>
      <c r="AF18" s="7" t="s">
        <v>336</v>
      </c>
      <c r="AH18" s="15"/>
      <c r="AI18" s="13"/>
      <c r="AL18" s="7" t="s">
        <v>336</v>
      </c>
      <c r="AM18" s="7" t="s">
        <v>336</v>
      </c>
      <c r="AN18" s="7" t="s">
        <v>336</v>
      </c>
      <c r="AR18" s="7" t="s">
        <v>337</v>
      </c>
      <c r="AT18" s="7" t="s">
        <v>535</v>
      </c>
      <c r="AW18" s="7" t="s">
        <v>338</v>
      </c>
      <c r="AY18" s="7" t="s">
        <v>251</v>
      </c>
      <c r="AZ18" s="7" t="s">
        <v>331</v>
      </c>
      <c r="BA18" s="7" t="s">
        <v>2777</v>
      </c>
      <c r="BC18" s="7" t="s">
        <v>334</v>
      </c>
      <c r="BF18" s="7" t="s">
        <v>334</v>
      </c>
      <c r="BH18" s="7" t="s">
        <v>334</v>
      </c>
      <c r="BI18" s="13"/>
      <c r="BJ18" s="7" t="s">
        <v>2894</v>
      </c>
      <c r="BK18" s="7" t="s">
        <v>566</v>
      </c>
      <c r="BL18" s="7" t="s">
        <v>536</v>
      </c>
      <c r="BM18" s="7" t="s">
        <v>536</v>
      </c>
      <c r="BN18" s="7" t="s">
        <v>536</v>
      </c>
      <c r="BQ18" s="7" t="s">
        <v>536</v>
      </c>
      <c r="BS18" s="14">
        <v>350</v>
      </c>
      <c r="BT18" s="14">
        <v>350</v>
      </c>
      <c r="BU18" s="14">
        <v>350</v>
      </c>
      <c r="BV18" s="14"/>
      <c r="BW18" s="14"/>
      <c r="BX18" s="14">
        <v>350</v>
      </c>
      <c r="BY18" s="7" t="s">
        <v>251</v>
      </c>
      <c r="CA18" s="7" t="s">
        <v>336</v>
      </c>
      <c r="CC18" s="14"/>
      <c r="CD18" s="13"/>
      <c r="CG18" s="7" t="s">
        <v>336</v>
      </c>
      <c r="CH18" s="7" t="s">
        <v>336</v>
      </c>
      <c r="CI18" s="7" t="s">
        <v>336</v>
      </c>
      <c r="CM18" s="7" t="s">
        <v>337</v>
      </c>
      <c r="CO18" s="7" t="s">
        <v>535</v>
      </c>
      <c r="CR18" s="7" t="s">
        <v>338</v>
      </c>
    </row>
    <row r="19" spans="1:97" ht="76.5" x14ac:dyDescent="0.2">
      <c r="A19" s="6" t="s">
        <v>63</v>
      </c>
      <c r="B19" s="7" t="s">
        <v>251</v>
      </c>
      <c r="C19" s="7" t="s">
        <v>331</v>
      </c>
      <c r="D19" s="7" t="s">
        <v>2777</v>
      </c>
      <c r="F19" s="7" t="s">
        <v>334</v>
      </c>
      <c r="I19" s="7" t="s">
        <v>334</v>
      </c>
      <c r="K19" s="7" t="s">
        <v>2868</v>
      </c>
      <c r="M19" s="7" t="s">
        <v>334</v>
      </c>
      <c r="N19" s="13"/>
      <c r="O19" s="13"/>
      <c r="P19" s="7" t="s">
        <v>251</v>
      </c>
      <c r="Q19" s="13">
        <v>50</v>
      </c>
      <c r="R19" s="7" t="s">
        <v>534</v>
      </c>
      <c r="T19" s="7" t="s">
        <v>251</v>
      </c>
      <c r="U19" s="13">
        <v>50</v>
      </c>
      <c r="V19" s="7" t="s">
        <v>2855</v>
      </c>
      <c r="X19" s="14"/>
      <c r="Y19" s="14"/>
      <c r="Z19" s="14"/>
      <c r="AA19" s="14">
        <v>1500</v>
      </c>
      <c r="AB19" s="14">
        <v>2000</v>
      </c>
      <c r="AC19" s="14"/>
      <c r="AD19" s="7" t="s">
        <v>251</v>
      </c>
      <c r="AF19" s="7" t="s">
        <v>336</v>
      </c>
      <c r="AH19" s="15"/>
      <c r="AI19" s="13"/>
      <c r="AL19" s="7" t="s">
        <v>336</v>
      </c>
      <c r="AM19" s="7" t="s">
        <v>336</v>
      </c>
      <c r="AN19" s="7" t="s">
        <v>336</v>
      </c>
      <c r="AR19" s="7" t="s">
        <v>343</v>
      </c>
      <c r="AW19" s="7" t="s">
        <v>386</v>
      </c>
      <c r="AY19" s="7" t="s">
        <v>251</v>
      </c>
      <c r="AZ19" s="7" t="s">
        <v>331</v>
      </c>
      <c r="BA19" s="7" t="s">
        <v>2777</v>
      </c>
      <c r="BC19" s="7" t="s">
        <v>334</v>
      </c>
      <c r="BF19" s="7" t="s">
        <v>334</v>
      </c>
      <c r="BH19" s="7" t="s">
        <v>334</v>
      </c>
      <c r="BI19" s="13"/>
      <c r="BJ19" s="7" t="s">
        <v>2893</v>
      </c>
      <c r="BK19" s="7" t="s">
        <v>622</v>
      </c>
      <c r="BL19" s="7" t="s">
        <v>536</v>
      </c>
      <c r="BM19" s="7" t="s">
        <v>536</v>
      </c>
      <c r="BN19" s="7" t="s">
        <v>536</v>
      </c>
      <c r="BO19" s="7" t="s">
        <v>536</v>
      </c>
      <c r="BS19" s="14">
        <v>250</v>
      </c>
      <c r="BT19" s="14">
        <v>250</v>
      </c>
      <c r="BU19" s="14">
        <v>250</v>
      </c>
      <c r="BV19" s="14">
        <v>250</v>
      </c>
      <c r="BW19" s="14"/>
      <c r="BX19" s="14">
        <v>250</v>
      </c>
      <c r="BY19" s="7" t="s">
        <v>251</v>
      </c>
      <c r="CA19" s="7" t="s">
        <v>336</v>
      </c>
      <c r="CD19" s="13"/>
      <c r="CG19" s="7" t="s">
        <v>336</v>
      </c>
      <c r="CH19" s="7" t="s">
        <v>336</v>
      </c>
      <c r="CI19" s="7" t="s">
        <v>336</v>
      </c>
      <c r="CM19" s="7" t="s">
        <v>343</v>
      </c>
      <c r="CR19" s="7" t="s">
        <v>386</v>
      </c>
    </row>
    <row r="20" spans="1:97" ht="76.5" x14ac:dyDescent="0.2">
      <c r="A20" s="6" t="s">
        <v>25</v>
      </c>
      <c r="B20" s="7" t="s">
        <v>251</v>
      </c>
      <c r="C20" s="7" t="s">
        <v>331</v>
      </c>
      <c r="D20" s="7" t="s">
        <v>2777</v>
      </c>
      <c r="F20" s="7" t="s">
        <v>334</v>
      </c>
      <c r="I20" s="7" t="s">
        <v>334</v>
      </c>
      <c r="K20" s="7" t="s">
        <v>2868</v>
      </c>
      <c r="M20" s="7" t="s">
        <v>334</v>
      </c>
      <c r="N20" s="13"/>
      <c r="O20" s="13"/>
      <c r="P20" s="7" t="s">
        <v>251</v>
      </c>
      <c r="Q20" s="13">
        <v>20</v>
      </c>
      <c r="R20" s="7" t="s">
        <v>534</v>
      </c>
      <c r="T20" s="7" t="s">
        <v>251</v>
      </c>
      <c r="U20" s="13">
        <v>50</v>
      </c>
      <c r="V20" s="7" t="s">
        <v>2855</v>
      </c>
      <c r="X20" s="14"/>
      <c r="Y20" s="14"/>
      <c r="Z20" s="14"/>
      <c r="AA20" s="14">
        <v>2500</v>
      </c>
      <c r="AB20" s="14">
        <v>2500</v>
      </c>
      <c r="AC20" s="14"/>
      <c r="AD20" s="7" t="s">
        <v>251</v>
      </c>
      <c r="AF20" s="7" t="s">
        <v>336</v>
      </c>
      <c r="AH20" s="15"/>
      <c r="AI20" s="13"/>
      <c r="AL20" s="7" t="s">
        <v>336</v>
      </c>
      <c r="AM20" s="7" t="s">
        <v>336</v>
      </c>
      <c r="AN20" s="7" t="s">
        <v>336</v>
      </c>
      <c r="AR20" s="7" t="s">
        <v>337</v>
      </c>
      <c r="AT20" s="7" t="s">
        <v>535</v>
      </c>
      <c r="AW20" s="7" t="s">
        <v>338</v>
      </c>
      <c r="AY20" s="7" t="s">
        <v>251</v>
      </c>
      <c r="AZ20" s="7" t="s">
        <v>331</v>
      </c>
      <c r="BA20" s="7" t="s">
        <v>2777</v>
      </c>
      <c r="BC20" s="7" t="s">
        <v>334</v>
      </c>
      <c r="BF20" s="7" t="s">
        <v>334</v>
      </c>
      <c r="BH20" s="7" t="s">
        <v>334</v>
      </c>
      <c r="BI20" s="13"/>
      <c r="BJ20" s="7" t="s">
        <v>2864</v>
      </c>
      <c r="BL20" s="7" t="s">
        <v>536</v>
      </c>
      <c r="BM20" s="7" t="s">
        <v>536</v>
      </c>
      <c r="BN20" s="7" t="s">
        <v>536</v>
      </c>
      <c r="BO20" s="7" t="s">
        <v>536</v>
      </c>
      <c r="BS20" s="14">
        <v>200</v>
      </c>
      <c r="BT20" s="14">
        <v>200</v>
      </c>
      <c r="BU20" s="14"/>
      <c r="BV20" s="14">
        <v>200</v>
      </c>
      <c r="BW20" s="14"/>
      <c r="BX20" s="14"/>
      <c r="BY20" s="7" t="s">
        <v>251</v>
      </c>
      <c r="CA20" s="7" t="s">
        <v>336</v>
      </c>
      <c r="CC20" s="14"/>
      <c r="CD20" s="13"/>
      <c r="CG20" s="7" t="s">
        <v>336</v>
      </c>
      <c r="CH20" s="7" t="s">
        <v>336</v>
      </c>
      <c r="CI20" s="7" t="s">
        <v>336</v>
      </c>
      <c r="CM20" s="7" t="s">
        <v>337</v>
      </c>
      <c r="CO20" s="7" t="s">
        <v>535</v>
      </c>
      <c r="CR20" s="7" t="s">
        <v>338</v>
      </c>
    </row>
    <row r="21" spans="1:97" ht="76.5" x14ac:dyDescent="0.2">
      <c r="A21" s="6" t="s">
        <v>26</v>
      </c>
      <c r="B21" s="7" t="s">
        <v>251</v>
      </c>
      <c r="C21" s="7" t="s">
        <v>331</v>
      </c>
      <c r="D21" s="7" t="s">
        <v>2777</v>
      </c>
      <c r="F21" s="7" t="s">
        <v>334</v>
      </c>
      <c r="I21" s="7" t="s">
        <v>251</v>
      </c>
      <c r="J21" s="7" t="s">
        <v>560</v>
      </c>
      <c r="K21" s="7" t="s">
        <v>2874</v>
      </c>
      <c r="L21" s="7" t="s">
        <v>561</v>
      </c>
      <c r="M21" s="7" t="s">
        <v>334</v>
      </c>
      <c r="N21" s="13"/>
      <c r="O21" s="13"/>
      <c r="P21" s="7" t="s">
        <v>334</v>
      </c>
      <c r="Q21" s="13"/>
      <c r="R21" s="7" t="s">
        <v>534</v>
      </c>
      <c r="T21" s="7" t="s">
        <v>334</v>
      </c>
      <c r="U21" s="13"/>
      <c r="V21" s="7" t="s">
        <v>130</v>
      </c>
      <c r="W21" s="7" t="s">
        <v>562</v>
      </c>
      <c r="X21" s="14"/>
      <c r="Y21" s="14"/>
      <c r="Z21" s="14"/>
      <c r="AA21" s="14"/>
      <c r="AB21" s="14"/>
      <c r="AC21" s="14" t="s">
        <v>563</v>
      </c>
      <c r="AD21" s="7" t="s">
        <v>251</v>
      </c>
      <c r="AF21" s="7" t="s">
        <v>340</v>
      </c>
      <c r="AG21" s="7" t="s">
        <v>380</v>
      </c>
      <c r="AH21" s="15"/>
      <c r="AI21" s="13"/>
      <c r="AK21" s="7" t="s">
        <v>564</v>
      </c>
      <c r="AL21" s="7" t="s">
        <v>340</v>
      </c>
      <c r="AM21" s="7" t="s">
        <v>340</v>
      </c>
      <c r="AN21" s="7" t="s">
        <v>340</v>
      </c>
      <c r="AQ21" s="7" t="s">
        <v>565</v>
      </c>
      <c r="AR21" s="7" t="s">
        <v>337</v>
      </c>
      <c r="AT21" s="7" t="s">
        <v>556</v>
      </c>
      <c r="AW21" s="7" t="s">
        <v>338</v>
      </c>
      <c r="AY21" s="7" t="s">
        <v>334</v>
      </c>
      <c r="BI21" s="13"/>
      <c r="BS21" s="14"/>
      <c r="BT21" s="14"/>
      <c r="BU21" s="14"/>
      <c r="BV21" s="14"/>
      <c r="BW21" s="14"/>
      <c r="BX21" s="14"/>
      <c r="CC21" s="14"/>
      <c r="CD21" s="13"/>
    </row>
    <row r="22" spans="1:97" ht="76.5" x14ac:dyDescent="0.2">
      <c r="A22" s="6" t="s">
        <v>20</v>
      </c>
      <c r="B22" s="7" t="s">
        <v>251</v>
      </c>
      <c r="C22" s="7" t="s">
        <v>331</v>
      </c>
      <c r="D22" s="7" t="s">
        <v>2777</v>
      </c>
      <c r="F22" s="7" t="s">
        <v>334</v>
      </c>
      <c r="I22" s="7" t="s">
        <v>334</v>
      </c>
      <c r="K22" s="7" t="s">
        <v>2868</v>
      </c>
      <c r="M22" s="7" t="s">
        <v>334</v>
      </c>
      <c r="N22" s="13"/>
      <c r="O22" s="13"/>
      <c r="P22" s="7" t="s">
        <v>334</v>
      </c>
      <c r="Q22" s="13"/>
      <c r="R22" s="7" t="s">
        <v>540</v>
      </c>
      <c r="T22" s="7" t="s">
        <v>334</v>
      </c>
      <c r="U22" s="13"/>
      <c r="V22" s="7" t="s">
        <v>2859</v>
      </c>
      <c r="X22" s="14">
        <v>2000</v>
      </c>
      <c r="Y22" s="14">
        <v>2000</v>
      </c>
      <c r="Z22" s="14">
        <v>2000</v>
      </c>
      <c r="AA22" s="14">
        <v>2000</v>
      </c>
      <c r="AB22" s="14">
        <v>3000</v>
      </c>
      <c r="AC22" s="14"/>
      <c r="AD22" s="7" t="s">
        <v>251</v>
      </c>
      <c r="AF22" s="7" t="s">
        <v>340</v>
      </c>
      <c r="AG22" s="7" t="s">
        <v>341</v>
      </c>
      <c r="AH22" s="15"/>
      <c r="AI22" s="13">
        <v>10</v>
      </c>
      <c r="AL22" s="7" t="s">
        <v>340</v>
      </c>
      <c r="AM22" s="7" t="s">
        <v>340</v>
      </c>
      <c r="AN22" s="7" t="s">
        <v>340</v>
      </c>
      <c r="AQ22" s="7" t="s">
        <v>555</v>
      </c>
      <c r="AR22" s="7" t="s">
        <v>337</v>
      </c>
      <c r="AT22" s="7" t="s">
        <v>556</v>
      </c>
      <c r="AW22" s="7" t="s">
        <v>350</v>
      </c>
      <c r="AY22" s="7" t="s">
        <v>251</v>
      </c>
      <c r="AZ22" s="7" t="s">
        <v>404</v>
      </c>
      <c r="BC22" s="7" t="s">
        <v>334</v>
      </c>
      <c r="BF22" s="7" t="s">
        <v>334</v>
      </c>
      <c r="BH22" s="7" t="s">
        <v>334</v>
      </c>
      <c r="BI22" s="13"/>
      <c r="BJ22" s="7" t="s">
        <v>2864</v>
      </c>
      <c r="BL22" s="7" t="s">
        <v>537</v>
      </c>
      <c r="BM22" s="7" t="s">
        <v>537</v>
      </c>
      <c r="BN22" s="7" t="s">
        <v>537</v>
      </c>
      <c r="BO22" s="7" t="s">
        <v>537</v>
      </c>
      <c r="BS22" s="14">
        <v>400</v>
      </c>
      <c r="BT22" s="14">
        <v>400</v>
      </c>
      <c r="BU22" s="14">
        <v>400</v>
      </c>
      <c r="BV22" s="14">
        <v>400</v>
      </c>
      <c r="BW22" s="14"/>
      <c r="BX22" s="14"/>
      <c r="CA22" s="7" t="s">
        <v>340</v>
      </c>
      <c r="CB22" s="7" t="s">
        <v>341</v>
      </c>
      <c r="CC22" s="14"/>
      <c r="CD22" s="13">
        <v>10</v>
      </c>
      <c r="CM22" s="7" t="s">
        <v>337</v>
      </c>
      <c r="CO22" s="7" t="s">
        <v>556</v>
      </c>
      <c r="CR22" s="7" t="s">
        <v>350</v>
      </c>
    </row>
    <row r="23" spans="1:97" ht="76.5" x14ac:dyDescent="0.2">
      <c r="A23" s="6" t="s">
        <v>70</v>
      </c>
      <c r="B23" s="7" t="s">
        <v>251</v>
      </c>
      <c r="C23" s="7" t="s">
        <v>331</v>
      </c>
      <c r="D23" s="7" t="s">
        <v>2777</v>
      </c>
      <c r="F23" s="7" t="s">
        <v>334</v>
      </c>
      <c r="I23" s="7" t="s">
        <v>334</v>
      </c>
      <c r="K23" s="7" t="s">
        <v>2868</v>
      </c>
      <c r="M23" s="7" t="s">
        <v>334</v>
      </c>
      <c r="N23" s="13"/>
      <c r="O23" s="13"/>
      <c r="P23" s="7" t="s">
        <v>251</v>
      </c>
      <c r="Q23" s="13">
        <v>50</v>
      </c>
      <c r="R23" s="7" t="s">
        <v>534</v>
      </c>
      <c r="T23" s="7" t="s">
        <v>251</v>
      </c>
      <c r="U23" s="13">
        <v>50</v>
      </c>
      <c r="V23" s="7" t="s">
        <v>2856</v>
      </c>
      <c r="X23" s="14">
        <v>2000</v>
      </c>
      <c r="Y23" s="14"/>
      <c r="Z23" s="14"/>
      <c r="AA23" s="14"/>
      <c r="AB23" s="14">
        <v>1500</v>
      </c>
      <c r="AC23" s="14"/>
      <c r="AD23" s="7" t="s">
        <v>251</v>
      </c>
      <c r="AF23" s="7" t="s">
        <v>336</v>
      </c>
      <c r="AH23" s="15"/>
      <c r="AI23" s="13"/>
      <c r="AL23" s="7" t="s">
        <v>336</v>
      </c>
      <c r="AM23" s="7" t="s">
        <v>336</v>
      </c>
      <c r="AN23" s="7" t="s">
        <v>336</v>
      </c>
      <c r="AR23" s="7" t="s">
        <v>337</v>
      </c>
      <c r="AT23" s="7" t="s">
        <v>535</v>
      </c>
      <c r="AW23" s="7" t="s">
        <v>130</v>
      </c>
      <c r="AX23" s="7" t="s">
        <v>435</v>
      </c>
      <c r="AY23" s="7" t="s">
        <v>251</v>
      </c>
      <c r="AZ23" s="7" t="s">
        <v>331</v>
      </c>
      <c r="BA23" s="7" t="s">
        <v>2777</v>
      </c>
      <c r="BC23" s="7" t="s">
        <v>334</v>
      </c>
      <c r="BF23" s="7" t="s">
        <v>334</v>
      </c>
      <c r="BH23" s="7" t="s">
        <v>334</v>
      </c>
      <c r="BJ23" s="7" t="s">
        <v>2864</v>
      </c>
      <c r="BL23" s="7" t="s">
        <v>536</v>
      </c>
      <c r="BM23" s="7" t="s">
        <v>536</v>
      </c>
      <c r="BN23" s="7" t="s">
        <v>536</v>
      </c>
      <c r="BO23" s="7" t="s">
        <v>536</v>
      </c>
      <c r="BS23" s="14">
        <v>250</v>
      </c>
      <c r="BT23" s="14">
        <v>250</v>
      </c>
      <c r="BU23" s="14"/>
      <c r="BV23" s="14">
        <v>250</v>
      </c>
      <c r="BW23" s="14"/>
      <c r="BX23" s="14"/>
      <c r="BY23" s="7" t="s">
        <v>251</v>
      </c>
      <c r="CA23" s="7" t="s">
        <v>336</v>
      </c>
      <c r="CG23" s="7" t="s">
        <v>336</v>
      </c>
      <c r="CH23" s="7" t="s">
        <v>336</v>
      </c>
      <c r="CI23" s="7" t="s">
        <v>336</v>
      </c>
      <c r="CM23" s="7" t="s">
        <v>337</v>
      </c>
      <c r="CO23" s="7" t="s">
        <v>535</v>
      </c>
      <c r="CR23" s="7" t="s">
        <v>130</v>
      </c>
      <c r="CS23" s="7" t="s">
        <v>435</v>
      </c>
    </row>
    <row r="24" spans="1:97" ht="38.25" x14ac:dyDescent="0.2">
      <c r="A24" s="6" t="s">
        <v>14</v>
      </c>
      <c r="B24" s="7" t="s">
        <v>251</v>
      </c>
      <c r="C24" s="7" t="s">
        <v>331</v>
      </c>
      <c r="D24" s="7" t="s">
        <v>2777</v>
      </c>
      <c r="F24" s="7" t="s">
        <v>334</v>
      </c>
      <c r="I24" s="7" t="s">
        <v>334</v>
      </c>
      <c r="K24" s="7" t="s">
        <v>2871</v>
      </c>
      <c r="M24" s="7" t="s">
        <v>539</v>
      </c>
      <c r="N24" s="13">
        <v>20</v>
      </c>
      <c r="O24" s="13">
        <v>20</v>
      </c>
      <c r="P24" s="7" t="s">
        <v>251</v>
      </c>
      <c r="Q24" s="13">
        <v>50</v>
      </c>
      <c r="U24" s="13"/>
      <c r="V24" s="7" t="s">
        <v>544</v>
      </c>
      <c r="X24" s="14">
        <v>1500</v>
      </c>
      <c r="Y24" s="14"/>
      <c r="Z24" s="14"/>
      <c r="AA24" s="14"/>
      <c r="AB24" s="14"/>
      <c r="AC24" s="14"/>
      <c r="AD24" s="7" t="s">
        <v>251</v>
      </c>
      <c r="AF24" s="7" t="s">
        <v>336</v>
      </c>
      <c r="AH24" s="15"/>
      <c r="AI24" s="13"/>
      <c r="AL24" s="7" t="s">
        <v>336</v>
      </c>
      <c r="AM24" s="7" t="s">
        <v>336</v>
      </c>
      <c r="AN24" s="7" t="s">
        <v>336</v>
      </c>
      <c r="AR24" s="7" t="s">
        <v>337</v>
      </c>
      <c r="AT24" s="7" t="s">
        <v>535</v>
      </c>
      <c r="AW24" s="7" t="s">
        <v>350</v>
      </c>
      <c r="AY24" s="7" t="s">
        <v>251</v>
      </c>
      <c r="AZ24" s="7" t="s">
        <v>331</v>
      </c>
      <c r="BA24" s="7" t="s">
        <v>2777</v>
      </c>
      <c r="BC24" s="7" t="s">
        <v>334</v>
      </c>
      <c r="BF24" s="7" t="s">
        <v>334</v>
      </c>
      <c r="BH24" s="7" t="s">
        <v>251</v>
      </c>
      <c r="BI24" s="13">
        <v>20</v>
      </c>
      <c r="BJ24" s="7" t="s">
        <v>2864</v>
      </c>
      <c r="BN24" s="7" t="s">
        <v>536</v>
      </c>
      <c r="BR24" s="7" t="s">
        <v>545</v>
      </c>
      <c r="BS24" s="14">
        <v>200</v>
      </c>
      <c r="BT24" s="14">
        <v>200</v>
      </c>
      <c r="BU24" s="14"/>
      <c r="BV24" s="14">
        <v>200</v>
      </c>
      <c r="BW24" s="14"/>
      <c r="BX24" s="14"/>
      <c r="BY24" s="7" t="s">
        <v>251</v>
      </c>
      <c r="CA24" s="7" t="s">
        <v>336</v>
      </c>
      <c r="CC24" s="14"/>
      <c r="CD24" s="13"/>
      <c r="CG24" s="7" t="s">
        <v>336</v>
      </c>
      <c r="CH24" s="7" t="s">
        <v>336</v>
      </c>
      <c r="CI24" s="7" t="s">
        <v>336</v>
      </c>
      <c r="CM24" s="7" t="s">
        <v>337</v>
      </c>
      <c r="CO24" s="7" t="s">
        <v>535</v>
      </c>
      <c r="CR24" s="7" t="s">
        <v>350</v>
      </c>
    </row>
    <row r="25" spans="1:97" ht="63.75" x14ac:dyDescent="0.2">
      <c r="A25" s="6" t="s">
        <v>24</v>
      </c>
      <c r="B25" s="7" t="s">
        <v>251</v>
      </c>
      <c r="C25" s="7" t="s">
        <v>331</v>
      </c>
      <c r="D25" s="7" t="s">
        <v>2777</v>
      </c>
      <c r="F25" s="7" t="s">
        <v>334</v>
      </c>
      <c r="I25" s="7" t="s">
        <v>334</v>
      </c>
      <c r="K25" s="7" t="s">
        <v>2869</v>
      </c>
      <c r="M25" s="7" t="s">
        <v>542</v>
      </c>
      <c r="N25" s="13"/>
      <c r="O25" s="13">
        <v>50</v>
      </c>
      <c r="P25" s="7" t="s">
        <v>251</v>
      </c>
      <c r="Q25" s="13">
        <v>50</v>
      </c>
      <c r="R25" s="7" t="s">
        <v>540</v>
      </c>
      <c r="T25" s="7" t="s">
        <v>251</v>
      </c>
      <c r="U25" s="13">
        <v>50</v>
      </c>
      <c r="V25" s="7" t="s">
        <v>2859</v>
      </c>
      <c r="X25" s="14">
        <v>2000</v>
      </c>
      <c r="Y25" s="14">
        <v>2000</v>
      </c>
      <c r="Z25" s="14">
        <v>2000</v>
      </c>
      <c r="AA25" s="14">
        <v>2000</v>
      </c>
      <c r="AB25" s="14">
        <v>2500</v>
      </c>
      <c r="AC25" s="14"/>
      <c r="AD25" s="7" t="s">
        <v>251</v>
      </c>
      <c r="AF25" s="7" t="s">
        <v>336</v>
      </c>
      <c r="AH25" s="15"/>
      <c r="AI25" s="13"/>
      <c r="AL25" s="7" t="s">
        <v>336</v>
      </c>
      <c r="AM25" s="7" t="s">
        <v>336</v>
      </c>
      <c r="AN25" s="7" t="s">
        <v>336</v>
      </c>
      <c r="AR25" s="7" t="s">
        <v>343</v>
      </c>
      <c r="AW25" s="7" t="s">
        <v>350</v>
      </c>
      <c r="AY25" s="7" t="s">
        <v>251</v>
      </c>
      <c r="AZ25" s="7" t="s">
        <v>331</v>
      </c>
      <c r="BA25" s="7" t="s">
        <v>2777</v>
      </c>
      <c r="BC25" s="7" t="s">
        <v>334</v>
      </c>
      <c r="BF25" s="7" t="s">
        <v>334</v>
      </c>
      <c r="BH25" s="7" t="s">
        <v>334</v>
      </c>
      <c r="BI25" s="13"/>
      <c r="BJ25" s="7" t="s">
        <v>2864</v>
      </c>
      <c r="BL25" s="7" t="s">
        <v>536</v>
      </c>
      <c r="BM25" s="7" t="s">
        <v>536</v>
      </c>
      <c r="BN25" s="7" t="s">
        <v>559</v>
      </c>
      <c r="BO25" s="7" t="s">
        <v>536</v>
      </c>
      <c r="BS25" s="14">
        <v>300</v>
      </c>
      <c r="BT25" s="14">
        <v>200</v>
      </c>
      <c r="BU25" s="14">
        <v>100</v>
      </c>
      <c r="BV25" s="14">
        <v>300</v>
      </c>
      <c r="BW25" s="14"/>
      <c r="BX25" s="14"/>
      <c r="BY25" s="7" t="s">
        <v>251</v>
      </c>
      <c r="CA25" s="7" t="s">
        <v>336</v>
      </c>
      <c r="CC25" s="14"/>
      <c r="CD25" s="13"/>
      <c r="CG25" s="7" t="s">
        <v>336</v>
      </c>
      <c r="CI25" s="7" t="s">
        <v>336</v>
      </c>
      <c r="CM25" s="7" t="s">
        <v>343</v>
      </c>
      <c r="CR25" s="7" t="s">
        <v>350</v>
      </c>
    </row>
    <row r="26" spans="1:97" ht="63.75" x14ac:dyDescent="0.2">
      <c r="A26" s="6" t="s">
        <v>37</v>
      </c>
      <c r="B26" s="7" t="s">
        <v>251</v>
      </c>
      <c r="C26" s="7" t="s">
        <v>331</v>
      </c>
      <c r="D26" s="7" t="s">
        <v>2777</v>
      </c>
      <c r="F26" s="7" t="s">
        <v>334</v>
      </c>
      <c r="I26" s="7" t="s">
        <v>334</v>
      </c>
      <c r="K26" s="7" t="s">
        <v>2869</v>
      </c>
      <c r="M26" s="7" t="s">
        <v>539</v>
      </c>
      <c r="N26" s="13">
        <v>20</v>
      </c>
      <c r="O26" s="13">
        <v>20</v>
      </c>
      <c r="P26" s="7" t="s">
        <v>251</v>
      </c>
      <c r="Q26" s="13">
        <v>50</v>
      </c>
      <c r="R26" s="7" t="s">
        <v>540</v>
      </c>
      <c r="T26" s="7" t="s">
        <v>251</v>
      </c>
      <c r="U26" s="13">
        <v>50</v>
      </c>
      <c r="V26" s="7" t="s">
        <v>544</v>
      </c>
      <c r="X26" s="14">
        <v>2000</v>
      </c>
      <c r="Y26" s="14"/>
      <c r="Z26" s="14"/>
      <c r="AA26" s="14"/>
      <c r="AB26" s="14"/>
      <c r="AC26" s="14"/>
      <c r="AD26" s="7" t="s">
        <v>251</v>
      </c>
      <c r="AF26" s="7" t="s">
        <v>336</v>
      </c>
      <c r="AH26" s="15"/>
      <c r="AI26" s="13"/>
      <c r="AL26" s="7" t="s">
        <v>336</v>
      </c>
      <c r="AM26" s="7" t="s">
        <v>336</v>
      </c>
      <c r="AN26" s="7" t="s">
        <v>336</v>
      </c>
      <c r="AR26" s="7" t="s">
        <v>343</v>
      </c>
      <c r="AW26" s="7" t="s">
        <v>344</v>
      </c>
      <c r="AY26" s="7" t="s">
        <v>251</v>
      </c>
      <c r="AZ26" s="7" t="s">
        <v>331</v>
      </c>
      <c r="BA26" s="7" t="s">
        <v>2777</v>
      </c>
      <c r="BC26" s="7" t="s">
        <v>334</v>
      </c>
      <c r="BF26" s="7" t="s">
        <v>334</v>
      </c>
      <c r="BH26" s="7" t="s">
        <v>334</v>
      </c>
      <c r="BI26" s="13"/>
      <c r="BJ26" s="7" t="s">
        <v>2864</v>
      </c>
      <c r="BL26" s="7" t="s">
        <v>536</v>
      </c>
      <c r="BM26" s="7" t="s">
        <v>536</v>
      </c>
      <c r="BN26" s="7" t="s">
        <v>536</v>
      </c>
      <c r="BO26" s="7" t="s">
        <v>536</v>
      </c>
      <c r="BS26" s="14">
        <v>200</v>
      </c>
      <c r="BT26" s="14">
        <v>200</v>
      </c>
      <c r="BU26" s="14">
        <v>200</v>
      </c>
      <c r="BV26" s="14">
        <v>200</v>
      </c>
      <c r="BW26" s="14"/>
      <c r="BX26" s="14"/>
      <c r="BY26" s="7" t="s">
        <v>251</v>
      </c>
      <c r="CA26" s="7" t="s">
        <v>336</v>
      </c>
      <c r="CC26" s="14"/>
      <c r="CD26" s="13"/>
      <c r="CG26" s="7" t="s">
        <v>336</v>
      </c>
      <c r="CH26" s="7" t="s">
        <v>336</v>
      </c>
      <c r="CI26" s="7" t="s">
        <v>336</v>
      </c>
      <c r="CM26" s="7" t="s">
        <v>343</v>
      </c>
      <c r="CR26" s="7" t="s">
        <v>344</v>
      </c>
    </row>
    <row r="27" spans="1:97" ht="51" x14ac:dyDescent="0.2">
      <c r="A27" s="6" t="s">
        <v>13</v>
      </c>
      <c r="B27" s="7" t="s">
        <v>251</v>
      </c>
      <c r="C27" s="7" t="s">
        <v>331</v>
      </c>
      <c r="D27" s="7" t="s">
        <v>2777</v>
      </c>
      <c r="F27" s="7" t="s">
        <v>334</v>
      </c>
      <c r="I27" s="7" t="s">
        <v>251</v>
      </c>
      <c r="J27" s="7" t="s">
        <v>541</v>
      </c>
      <c r="K27" s="7" t="s">
        <v>2870</v>
      </c>
      <c r="M27" s="7" t="s">
        <v>542</v>
      </c>
      <c r="N27" s="13"/>
      <c r="O27" s="13">
        <v>10</v>
      </c>
      <c r="P27" s="7" t="s">
        <v>251</v>
      </c>
      <c r="Q27" s="13">
        <v>50</v>
      </c>
      <c r="R27" s="7" t="s">
        <v>540</v>
      </c>
      <c r="T27" s="7" t="s">
        <v>334</v>
      </c>
      <c r="U27" s="13"/>
      <c r="V27" s="7" t="s">
        <v>2857</v>
      </c>
      <c r="X27" s="14"/>
      <c r="Y27" s="14">
        <v>750</v>
      </c>
      <c r="Z27" s="14">
        <v>750</v>
      </c>
      <c r="AA27" s="14"/>
      <c r="AB27" s="14"/>
      <c r="AC27" s="14"/>
      <c r="AD27" s="7" t="s">
        <v>251</v>
      </c>
      <c r="AF27" s="7" t="s">
        <v>336</v>
      </c>
      <c r="AH27" s="15"/>
      <c r="AI27" s="13"/>
      <c r="AL27" s="7" t="s">
        <v>340</v>
      </c>
      <c r="AM27" s="7" t="s">
        <v>340</v>
      </c>
      <c r="AN27" s="7" t="s">
        <v>340</v>
      </c>
      <c r="AQ27" s="7" t="s">
        <v>543</v>
      </c>
      <c r="AR27" s="7" t="s">
        <v>337</v>
      </c>
      <c r="AT27" s="7" t="s">
        <v>535</v>
      </c>
      <c r="AW27" s="7" t="s">
        <v>130</v>
      </c>
      <c r="AX27" s="7" t="s">
        <v>348</v>
      </c>
      <c r="AY27" s="7" t="s">
        <v>334</v>
      </c>
      <c r="BI27" s="13"/>
      <c r="BS27" s="14"/>
      <c r="BT27" s="14"/>
      <c r="BU27" s="14"/>
      <c r="BV27" s="14"/>
      <c r="BW27" s="14"/>
      <c r="BX27" s="14"/>
      <c r="CC27" s="14"/>
      <c r="CD27" s="13"/>
    </row>
    <row r="28" spans="1:97" ht="89.25" x14ac:dyDescent="0.2">
      <c r="A28" s="6" t="s">
        <v>35</v>
      </c>
      <c r="B28" s="7" t="s">
        <v>251</v>
      </c>
      <c r="C28" s="7" t="s">
        <v>331</v>
      </c>
      <c r="D28" s="7" t="s">
        <v>2777</v>
      </c>
      <c r="F28" s="7" t="s">
        <v>334</v>
      </c>
      <c r="I28" s="7" t="s">
        <v>334</v>
      </c>
      <c r="K28" s="7" t="s">
        <v>2868</v>
      </c>
      <c r="M28" s="7" t="s">
        <v>542</v>
      </c>
      <c r="N28" s="13"/>
      <c r="O28" s="13">
        <v>20</v>
      </c>
      <c r="P28" s="7" t="s">
        <v>251</v>
      </c>
      <c r="Q28" s="13">
        <v>20</v>
      </c>
      <c r="R28" s="7" t="s">
        <v>540</v>
      </c>
      <c r="T28" s="7" t="s">
        <v>251</v>
      </c>
      <c r="U28" s="13">
        <v>50</v>
      </c>
      <c r="V28" s="7" t="s">
        <v>2860</v>
      </c>
      <c r="X28" s="14"/>
      <c r="Y28" s="14">
        <v>1500</v>
      </c>
      <c r="Z28" s="14"/>
      <c r="AA28" s="14">
        <v>1500</v>
      </c>
      <c r="AB28" s="14">
        <v>2000</v>
      </c>
      <c r="AC28" s="14" t="s">
        <v>580</v>
      </c>
      <c r="AD28" s="7" t="s">
        <v>251</v>
      </c>
      <c r="AF28" s="7" t="s">
        <v>340</v>
      </c>
      <c r="AG28" s="7" t="s">
        <v>380</v>
      </c>
      <c r="AH28" s="15"/>
      <c r="AI28" s="13"/>
      <c r="AK28" s="7" t="s">
        <v>581</v>
      </c>
      <c r="AL28" s="7" t="s">
        <v>336</v>
      </c>
      <c r="AM28" s="7" t="s">
        <v>336</v>
      </c>
      <c r="AN28" s="7" t="s">
        <v>336</v>
      </c>
      <c r="AR28" s="7" t="s">
        <v>343</v>
      </c>
      <c r="AW28" s="7" t="s">
        <v>344</v>
      </c>
      <c r="AY28" s="7" t="s">
        <v>251</v>
      </c>
      <c r="AZ28" s="7" t="s">
        <v>331</v>
      </c>
      <c r="BA28" s="7" t="s">
        <v>2777</v>
      </c>
      <c r="BC28" s="7" t="s">
        <v>334</v>
      </c>
      <c r="BF28" s="7" t="s">
        <v>334</v>
      </c>
      <c r="BH28" s="7" t="s">
        <v>334</v>
      </c>
      <c r="BI28" s="13"/>
      <c r="BJ28" s="7" t="s">
        <v>2867</v>
      </c>
      <c r="BL28" s="7" t="s">
        <v>559</v>
      </c>
      <c r="BM28" s="7" t="s">
        <v>559</v>
      </c>
      <c r="BN28" s="7" t="s">
        <v>537</v>
      </c>
      <c r="BO28" s="7" t="s">
        <v>559</v>
      </c>
      <c r="BP28" s="7" t="s">
        <v>559</v>
      </c>
      <c r="BR28" s="7" t="s">
        <v>582</v>
      </c>
      <c r="BS28" s="14"/>
      <c r="BT28" s="14"/>
      <c r="BU28" s="14"/>
      <c r="BV28" s="14"/>
      <c r="BW28" s="14"/>
      <c r="BX28" s="14"/>
      <c r="BY28" s="7" t="s">
        <v>251</v>
      </c>
      <c r="CA28" s="7" t="s">
        <v>336</v>
      </c>
      <c r="CC28" s="14"/>
      <c r="CD28" s="13"/>
      <c r="CG28" s="7" t="s">
        <v>336</v>
      </c>
      <c r="CH28" s="7" t="s">
        <v>336</v>
      </c>
      <c r="CI28" s="7" t="s">
        <v>336</v>
      </c>
      <c r="CM28" s="7" t="s">
        <v>130</v>
      </c>
      <c r="CN28" s="7" t="s">
        <v>583</v>
      </c>
      <c r="CR28" s="7" t="s">
        <v>344</v>
      </c>
    </row>
    <row r="29" spans="1:97" ht="127.5" x14ac:dyDescent="0.2">
      <c r="A29" s="6" t="s">
        <v>67</v>
      </c>
      <c r="B29" s="7" t="s">
        <v>251</v>
      </c>
      <c r="C29" s="7" t="s">
        <v>331</v>
      </c>
      <c r="D29" s="7" t="s">
        <v>2777</v>
      </c>
      <c r="F29" s="7" t="s">
        <v>334</v>
      </c>
      <c r="I29" s="7" t="s">
        <v>334</v>
      </c>
      <c r="K29" s="7" t="s">
        <v>2869</v>
      </c>
      <c r="M29" s="7" t="s">
        <v>334</v>
      </c>
      <c r="N29" s="13"/>
      <c r="O29" s="13"/>
      <c r="P29" s="7" t="s">
        <v>251</v>
      </c>
      <c r="Q29" s="13">
        <v>50</v>
      </c>
      <c r="R29" s="7" t="s">
        <v>534</v>
      </c>
      <c r="T29" s="7" t="s">
        <v>251</v>
      </c>
      <c r="U29" s="13">
        <v>50</v>
      </c>
      <c r="V29" s="7" t="s">
        <v>2863</v>
      </c>
      <c r="X29" s="14"/>
      <c r="Y29" s="14"/>
      <c r="Z29" s="14">
        <v>2500</v>
      </c>
      <c r="AA29" s="14">
        <v>2500</v>
      </c>
      <c r="AB29" s="14"/>
      <c r="AC29" s="14"/>
      <c r="AD29" s="7" t="s">
        <v>251</v>
      </c>
      <c r="AF29" s="7" t="s">
        <v>336</v>
      </c>
      <c r="AH29" s="15"/>
      <c r="AI29" s="13"/>
      <c r="AL29" s="7" t="s">
        <v>336</v>
      </c>
      <c r="AM29" s="7" t="s">
        <v>336</v>
      </c>
      <c r="AN29" s="7" t="s">
        <v>336</v>
      </c>
      <c r="AR29" s="7" t="s">
        <v>337</v>
      </c>
      <c r="AT29" s="7" t="s">
        <v>535</v>
      </c>
      <c r="AW29" s="7" t="s">
        <v>338</v>
      </c>
      <c r="AY29" s="7" t="s">
        <v>251</v>
      </c>
      <c r="AZ29" s="7" t="s">
        <v>331</v>
      </c>
      <c r="BA29" s="7" t="s">
        <v>2777</v>
      </c>
      <c r="BC29" s="7" t="s">
        <v>334</v>
      </c>
      <c r="BF29" s="7" t="s">
        <v>334</v>
      </c>
      <c r="BH29" s="7" t="s">
        <v>334</v>
      </c>
      <c r="BJ29" s="7" t="s">
        <v>2864</v>
      </c>
      <c r="BL29" s="7" t="s">
        <v>553</v>
      </c>
      <c r="BM29" s="7" t="s">
        <v>553</v>
      </c>
      <c r="BN29" s="7" t="s">
        <v>536</v>
      </c>
      <c r="BO29" s="7" t="s">
        <v>553</v>
      </c>
      <c r="BS29" s="14">
        <v>250</v>
      </c>
      <c r="BT29" s="14">
        <v>250</v>
      </c>
      <c r="BU29" s="14"/>
      <c r="BV29" s="14">
        <v>250</v>
      </c>
      <c r="BW29" s="14"/>
      <c r="BX29" s="14"/>
      <c r="BY29" s="7" t="s">
        <v>334</v>
      </c>
      <c r="BZ29" s="7" t="s">
        <v>627</v>
      </c>
      <c r="CA29" s="7" t="s">
        <v>336</v>
      </c>
      <c r="CG29" s="7" t="s">
        <v>336</v>
      </c>
      <c r="CH29" s="7" t="s">
        <v>336</v>
      </c>
      <c r="CI29" s="7" t="s">
        <v>336</v>
      </c>
      <c r="CM29" s="7" t="s">
        <v>337</v>
      </c>
      <c r="CO29" s="7" t="s">
        <v>535</v>
      </c>
      <c r="CR29" s="7" t="s">
        <v>338</v>
      </c>
    </row>
    <row r="30" spans="1:97" ht="63.75" x14ac:dyDescent="0.2">
      <c r="A30" s="6" t="s">
        <v>49</v>
      </c>
      <c r="B30" s="7" t="s">
        <v>251</v>
      </c>
      <c r="C30" s="7" t="s">
        <v>331</v>
      </c>
      <c r="D30" s="7" t="s">
        <v>2777</v>
      </c>
      <c r="F30" s="7" t="s">
        <v>334</v>
      </c>
      <c r="I30" s="7" t="s">
        <v>334</v>
      </c>
      <c r="K30" s="7" t="s">
        <v>2869</v>
      </c>
      <c r="M30" s="7" t="s">
        <v>334</v>
      </c>
      <c r="N30" s="13"/>
      <c r="O30" s="13"/>
      <c r="P30" s="7" t="s">
        <v>251</v>
      </c>
      <c r="Q30" s="13">
        <v>40</v>
      </c>
      <c r="R30" s="7" t="s">
        <v>534</v>
      </c>
      <c r="T30" s="7" t="s">
        <v>251</v>
      </c>
      <c r="U30" s="13">
        <v>50</v>
      </c>
      <c r="V30" s="7" t="s">
        <v>544</v>
      </c>
      <c r="X30" s="14">
        <v>2500</v>
      </c>
      <c r="Y30" s="14"/>
      <c r="Z30" s="14"/>
      <c r="AA30" s="14"/>
      <c r="AB30" s="14"/>
      <c r="AC30" s="14"/>
      <c r="AD30" s="7" t="s">
        <v>334</v>
      </c>
      <c r="AE30" s="7" t="s">
        <v>603</v>
      </c>
      <c r="AF30" s="7" t="s">
        <v>336</v>
      </c>
      <c r="AH30" s="15"/>
      <c r="AI30" s="13"/>
      <c r="AL30" s="7" t="s">
        <v>336</v>
      </c>
      <c r="AM30" s="7" t="s">
        <v>336</v>
      </c>
      <c r="AN30" s="7" t="s">
        <v>336</v>
      </c>
      <c r="AR30" s="7" t="s">
        <v>337</v>
      </c>
      <c r="AT30" s="7" t="s">
        <v>535</v>
      </c>
      <c r="AW30" s="7" t="s">
        <v>338</v>
      </c>
      <c r="AY30" s="7" t="s">
        <v>251</v>
      </c>
      <c r="AZ30" s="7" t="s">
        <v>331</v>
      </c>
      <c r="BA30" s="7" t="s">
        <v>2777</v>
      </c>
      <c r="BC30" s="7" t="s">
        <v>334</v>
      </c>
      <c r="BF30" s="7" t="s">
        <v>334</v>
      </c>
      <c r="BH30" s="7" t="s">
        <v>334</v>
      </c>
      <c r="BI30" s="13"/>
      <c r="BJ30" s="7" t="s">
        <v>2864</v>
      </c>
      <c r="BL30" s="7" t="s">
        <v>536</v>
      </c>
      <c r="BM30" s="7" t="s">
        <v>536</v>
      </c>
      <c r="BN30" s="7" t="s">
        <v>536</v>
      </c>
      <c r="BO30" s="7" t="s">
        <v>536</v>
      </c>
      <c r="BS30" s="14">
        <v>200</v>
      </c>
      <c r="BT30" s="14">
        <v>200</v>
      </c>
      <c r="BU30" s="14"/>
      <c r="BV30" s="14">
        <v>200</v>
      </c>
      <c r="BW30" s="14"/>
      <c r="BX30" s="14"/>
      <c r="BY30" s="7" t="s">
        <v>251</v>
      </c>
      <c r="CA30" s="7" t="s">
        <v>336</v>
      </c>
      <c r="CC30" s="14"/>
      <c r="CD30" s="13"/>
      <c r="CG30" s="7" t="s">
        <v>336</v>
      </c>
      <c r="CH30" s="7" t="s">
        <v>336</v>
      </c>
      <c r="CI30" s="7" t="s">
        <v>336</v>
      </c>
      <c r="CM30" s="7" t="s">
        <v>337</v>
      </c>
      <c r="CO30" s="7" t="s">
        <v>535</v>
      </c>
      <c r="CR30" s="7" t="s">
        <v>338</v>
      </c>
    </row>
    <row r="31" spans="1:97" ht="63.75" x14ac:dyDescent="0.2">
      <c r="A31" s="6" t="s">
        <v>68</v>
      </c>
      <c r="B31" s="7" t="s">
        <v>251</v>
      </c>
      <c r="C31" s="7" t="s">
        <v>331</v>
      </c>
      <c r="D31" s="7" t="s">
        <v>2777</v>
      </c>
      <c r="F31" s="7" t="s">
        <v>334</v>
      </c>
      <c r="I31" s="7" t="s">
        <v>334</v>
      </c>
      <c r="K31" s="7" t="s">
        <v>2869</v>
      </c>
      <c r="M31" s="7" t="s">
        <v>334</v>
      </c>
      <c r="N31" s="13"/>
      <c r="O31" s="13"/>
      <c r="P31" s="7" t="s">
        <v>334</v>
      </c>
      <c r="Q31" s="13"/>
      <c r="R31" s="7" t="s">
        <v>540</v>
      </c>
      <c r="T31" s="7" t="s">
        <v>334</v>
      </c>
      <c r="U31" s="13"/>
      <c r="V31" s="7" t="s">
        <v>2856</v>
      </c>
      <c r="X31" s="14">
        <v>3000</v>
      </c>
      <c r="Y31" s="14"/>
      <c r="Z31" s="14"/>
      <c r="AA31" s="14"/>
      <c r="AB31" s="14">
        <v>2000</v>
      </c>
      <c r="AC31" s="14"/>
      <c r="AD31" s="7" t="s">
        <v>251</v>
      </c>
      <c r="AF31" s="7" t="s">
        <v>336</v>
      </c>
      <c r="AH31" s="15"/>
      <c r="AI31" s="13"/>
      <c r="AL31" s="7" t="s">
        <v>336</v>
      </c>
      <c r="AM31" s="7" t="s">
        <v>336</v>
      </c>
      <c r="AN31" s="7" t="s">
        <v>336</v>
      </c>
      <c r="AR31" s="7" t="s">
        <v>337</v>
      </c>
      <c r="AT31" s="7" t="s">
        <v>535</v>
      </c>
      <c r="AW31" s="7" t="s">
        <v>350</v>
      </c>
      <c r="AY31" s="7" t="s">
        <v>251</v>
      </c>
      <c r="AZ31" s="7" t="s">
        <v>331</v>
      </c>
      <c r="BA31" s="7" t="s">
        <v>2777</v>
      </c>
      <c r="BC31" s="7" t="s">
        <v>334</v>
      </c>
      <c r="BF31" s="7" t="s">
        <v>334</v>
      </c>
      <c r="BH31" s="7" t="s">
        <v>334</v>
      </c>
      <c r="BJ31" s="7" t="s">
        <v>2864</v>
      </c>
      <c r="BL31" s="7" t="s">
        <v>536</v>
      </c>
      <c r="BM31" s="7" t="s">
        <v>536</v>
      </c>
      <c r="BN31" s="7" t="s">
        <v>536</v>
      </c>
      <c r="BO31" s="7" t="s">
        <v>536</v>
      </c>
      <c r="BS31" s="14">
        <v>250</v>
      </c>
      <c r="BT31" s="14">
        <v>250</v>
      </c>
      <c r="BU31" s="14">
        <v>75</v>
      </c>
      <c r="BV31" s="14">
        <v>250</v>
      </c>
      <c r="BW31" s="14"/>
      <c r="BX31" s="14"/>
      <c r="BY31" s="7" t="s">
        <v>251</v>
      </c>
      <c r="CA31" s="7" t="s">
        <v>336</v>
      </c>
      <c r="CG31" s="7" t="s">
        <v>336</v>
      </c>
      <c r="CH31" s="7" t="s">
        <v>336</v>
      </c>
      <c r="CI31" s="7" t="s">
        <v>336</v>
      </c>
      <c r="CM31" s="7" t="s">
        <v>337</v>
      </c>
      <c r="CO31" s="7" t="s">
        <v>535</v>
      </c>
      <c r="CR31" s="7" t="s">
        <v>350</v>
      </c>
    </row>
    <row r="32" spans="1:97" ht="76.5" x14ac:dyDescent="0.2">
      <c r="A32" s="6" t="s">
        <v>11</v>
      </c>
      <c r="B32" s="7" t="s">
        <v>251</v>
      </c>
      <c r="C32" s="7" t="s">
        <v>331</v>
      </c>
      <c r="D32" s="7" t="s">
        <v>2777</v>
      </c>
      <c r="F32" s="7" t="s">
        <v>334</v>
      </c>
      <c r="I32" s="7" t="s">
        <v>334</v>
      </c>
      <c r="K32" s="7" t="s">
        <v>2868</v>
      </c>
      <c r="M32" s="7" t="s">
        <v>334</v>
      </c>
      <c r="N32" s="13"/>
      <c r="O32" s="13"/>
      <c r="P32" s="7" t="s">
        <v>251</v>
      </c>
      <c r="Q32" s="13">
        <v>50</v>
      </c>
      <c r="R32" s="7" t="s">
        <v>534</v>
      </c>
      <c r="T32" s="7" t="s">
        <v>251</v>
      </c>
      <c r="U32" s="13">
        <v>50</v>
      </c>
      <c r="V32" s="7" t="s">
        <v>2855</v>
      </c>
      <c r="X32" s="14"/>
      <c r="Y32" s="14"/>
      <c r="Z32" s="14"/>
      <c r="AA32" s="14">
        <v>1500</v>
      </c>
      <c r="AB32" s="14">
        <v>2500</v>
      </c>
      <c r="AC32" s="14"/>
      <c r="AD32" s="7" t="s">
        <v>251</v>
      </c>
      <c r="AF32" s="7" t="s">
        <v>336</v>
      </c>
      <c r="AH32" s="15"/>
      <c r="AI32" s="13"/>
      <c r="AL32" s="7" t="s">
        <v>336</v>
      </c>
      <c r="AM32" s="7" t="s">
        <v>336</v>
      </c>
      <c r="AN32" s="7" t="s">
        <v>336</v>
      </c>
      <c r="AR32" s="7" t="s">
        <v>337</v>
      </c>
      <c r="AT32" s="7" t="s">
        <v>535</v>
      </c>
      <c r="AW32" s="7" t="s">
        <v>338</v>
      </c>
      <c r="AY32" s="7" t="s">
        <v>251</v>
      </c>
      <c r="AZ32" s="7" t="s">
        <v>331</v>
      </c>
      <c r="BA32" s="7" t="s">
        <v>2777</v>
      </c>
      <c r="BC32" s="7" t="s">
        <v>334</v>
      </c>
      <c r="BF32" s="7" t="s">
        <v>334</v>
      </c>
      <c r="BH32" s="7" t="s">
        <v>334</v>
      </c>
      <c r="BI32" s="13"/>
      <c r="BJ32" s="7" t="s">
        <v>2864</v>
      </c>
      <c r="BL32" s="7" t="s">
        <v>536</v>
      </c>
      <c r="BM32" s="7" t="s">
        <v>536</v>
      </c>
      <c r="BN32" s="7" t="s">
        <v>537</v>
      </c>
      <c r="BO32" s="7" t="s">
        <v>536</v>
      </c>
      <c r="BS32" s="14"/>
      <c r="BT32" s="14"/>
      <c r="BU32" s="14"/>
      <c r="BV32" s="14"/>
      <c r="BW32" s="14"/>
      <c r="BX32" s="14"/>
      <c r="BY32" s="7" t="s">
        <v>334</v>
      </c>
      <c r="BZ32" s="7" t="s">
        <v>538</v>
      </c>
      <c r="CA32" s="7" t="s">
        <v>336</v>
      </c>
      <c r="CC32" s="14"/>
      <c r="CD32" s="13"/>
      <c r="CG32" s="7" t="s">
        <v>336</v>
      </c>
      <c r="CH32" s="7" t="s">
        <v>336</v>
      </c>
      <c r="CI32" s="7" t="s">
        <v>336</v>
      </c>
      <c r="CM32" s="7" t="s">
        <v>343</v>
      </c>
      <c r="CR32" s="7" t="s">
        <v>338</v>
      </c>
    </row>
    <row r="33" spans="1:97" ht="76.5" x14ac:dyDescent="0.2">
      <c r="A33" s="6" t="s">
        <v>50</v>
      </c>
      <c r="B33" s="7" t="s">
        <v>251</v>
      </c>
      <c r="C33" s="7" t="s">
        <v>331</v>
      </c>
      <c r="D33" s="7" t="s">
        <v>2777</v>
      </c>
      <c r="F33" s="7" t="s">
        <v>334</v>
      </c>
      <c r="I33" s="7" t="s">
        <v>334</v>
      </c>
      <c r="K33" s="7" t="s">
        <v>2885</v>
      </c>
      <c r="M33" s="7" t="s">
        <v>542</v>
      </c>
      <c r="N33" s="13"/>
      <c r="O33" s="13">
        <v>40</v>
      </c>
      <c r="P33" s="7" t="s">
        <v>251</v>
      </c>
      <c r="Q33" s="13">
        <v>40</v>
      </c>
      <c r="R33" s="7" t="s">
        <v>540</v>
      </c>
      <c r="T33" s="7" t="s">
        <v>251</v>
      </c>
      <c r="U33" s="13">
        <v>40</v>
      </c>
      <c r="V33" s="7" t="s">
        <v>2862</v>
      </c>
      <c r="X33" s="14"/>
      <c r="Y33" s="14"/>
      <c r="Z33" s="14">
        <v>1500</v>
      </c>
      <c r="AA33" s="14">
        <v>2000</v>
      </c>
      <c r="AB33" s="14">
        <v>2500</v>
      </c>
      <c r="AC33" s="14"/>
      <c r="AD33" s="7" t="s">
        <v>251</v>
      </c>
      <c r="AF33" s="7" t="s">
        <v>336</v>
      </c>
      <c r="AH33" s="15"/>
      <c r="AI33" s="13"/>
      <c r="AL33" s="7" t="s">
        <v>336</v>
      </c>
      <c r="AM33" s="7" t="s">
        <v>336</v>
      </c>
      <c r="AN33" s="7" t="s">
        <v>336</v>
      </c>
      <c r="AR33" s="7" t="s">
        <v>337</v>
      </c>
      <c r="AT33" s="7" t="s">
        <v>535</v>
      </c>
      <c r="AW33" s="7" t="s">
        <v>338</v>
      </c>
      <c r="AY33" s="7" t="s">
        <v>251</v>
      </c>
      <c r="AZ33" s="7" t="s">
        <v>331</v>
      </c>
      <c r="BA33" s="7" t="s">
        <v>2777</v>
      </c>
      <c r="BC33" s="7" t="s">
        <v>334</v>
      </c>
      <c r="BF33" s="7" t="s">
        <v>334</v>
      </c>
      <c r="BH33" s="7" t="s">
        <v>334</v>
      </c>
      <c r="BI33" s="13"/>
      <c r="BJ33" s="7" t="s">
        <v>2864</v>
      </c>
      <c r="BL33" s="7" t="s">
        <v>536</v>
      </c>
      <c r="BM33" s="7" t="s">
        <v>536</v>
      </c>
      <c r="BN33" s="7" t="s">
        <v>536</v>
      </c>
      <c r="BO33" s="7" t="s">
        <v>536</v>
      </c>
      <c r="BS33" s="14">
        <v>300</v>
      </c>
      <c r="BT33" s="14">
        <v>300</v>
      </c>
      <c r="BU33" s="14">
        <v>300</v>
      </c>
      <c r="BV33" s="14">
        <v>300</v>
      </c>
      <c r="BW33" s="14"/>
      <c r="BX33" s="14"/>
      <c r="BY33" s="7" t="s">
        <v>334</v>
      </c>
      <c r="BZ33" s="7" t="s">
        <v>604</v>
      </c>
      <c r="CA33" s="7" t="s">
        <v>336</v>
      </c>
      <c r="CC33" s="14"/>
      <c r="CD33" s="13"/>
      <c r="CG33" s="7" t="s">
        <v>336</v>
      </c>
      <c r="CH33" s="7" t="s">
        <v>336</v>
      </c>
      <c r="CI33" s="7" t="s">
        <v>336</v>
      </c>
      <c r="CM33" s="7" t="s">
        <v>337</v>
      </c>
      <c r="CO33" s="7" t="s">
        <v>535</v>
      </c>
      <c r="CR33" s="7" t="s">
        <v>338</v>
      </c>
    </row>
    <row r="34" spans="1:97" ht="76.5" x14ac:dyDescent="0.2">
      <c r="A34" s="6" t="s">
        <v>71</v>
      </c>
      <c r="B34" s="7" t="s">
        <v>251</v>
      </c>
      <c r="C34" s="7" t="s">
        <v>331</v>
      </c>
      <c r="D34" s="7" t="s">
        <v>2777</v>
      </c>
      <c r="F34" s="7" t="s">
        <v>334</v>
      </c>
      <c r="I34" s="7" t="s">
        <v>334</v>
      </c>
      <c r="K34" s="7" t="s">
        <v>2868</v>
      </c>
      <c r="M34" s="7" t="s">
        <v>334</v>
      </c>
      <c r="N34" s="13"/>
      <c r="O34" s="13"/>
      <c r="P34" s="7" t="s">
        <v>251</v>
      </c>
      <c r="Q34" s="13">
        <v>50</v>
      </c>
      <c r="R34" s="7" t="s">
        <v>534</v>
      </c>
      <c r="T34" s="7" t="s">
        <v>251</v>
      </c>
      <c r="U34" s="13">
        <v>50</v>
      </c>
      <c r="V34" s="7" t="s">
        <v>2856</v>
      </c>
      <c r="X34" s="14">
        <v>2000</v>
      </c>
      <c r="Y34" s="14"/>
      <c r="Z34" s="14"/>
      <c r="AA34" s="14"/>
      <c r="AB34" s="14">
        <v>2000</v>
      </c>
      <c r="AC34" s="14"/>
      <c r="AD34" s="7" t="s">
        <v>251</v>
      </c>
      <c r="AF34" s="7" t="s">
        <v>336</v>
      </c>
      <c r="AH34" s="15"/>
      <c r="AI34" s="13"/>
      <c r="AL34" s="7" t="s">
        <v>336</v>
      </c>
      <c r="AM34" s="7" t="s">
        <v>336</v>
      </c>
      <c r="AN34" s="7" t="s">
        <v>336</v>
      </c>
      <c r="AR34" s="7" t="s">
        <v>343</v>
      </c>
      <c r="AW34" s="7" t="s">
        <v>344</v>
      </c>
      <c r="AY34" s="7" t="s">
        <v>251</v>
      </c>
      <c r="AZ34" s="7" t="s">
        <v>331</v>
      </c>
      <c r="BA34" s="7" t="s">
        <v>2777</v>
      </c>
      <c r="BC34" s="7" t="s">
        <v>334</v>
      </c>
      <c r="BF34" s="7" t="s">
        <v>334</v>
      </c>
      <c r="BH34" s="7" t="s">
        <v>334</v>
      </c>
      <c r="BJ34" s="7" t="s">
        <v>2867</v>
      </c>
      <c r="BL34" s="7" t="s">
        <v>536</v>
      </c>
      <c r="BM34" s="7" t="s">
        <v>536</v>
      </c>
      <c r="BN34" s="7" t="s">
        <v>536</v>
      </c>
      <c r="BO34" s="7" t="s">
        <v>536</v>
      </c>
      <c r="BP34" s="7" t="s">
        <v>536</v>
      </c>
      <c r="BS34" s="14">
        <v>200</v>
      </c>
      <c r="BT34" s="14">
        <v>200</v>
      </c>
      <c r="BU34" s="14">
        <v>200</v>
      </c>
      <c r="BV34" s="14">
        <v>200</v>
      </c>
      <c r="BW34" s="14">
        <v>200</v>
      </c>
      <c r="BX34" s="14"/>
      <c r="BY34" s="7" t="s">
        <v>251</v>
      </c>
      <c r="CA34" s="7" t="s">
        <v>336</v>
      </c>
      <c r="CG34" s="7" t="s">
        <v>336</v>
      </c>
      <c r="CH34" s="7" t="s">
        <v>336</v>
      </c>
      <c r="CI34" s="7" t="s">
        <v>336</v>
      </c>
      <c r="CM34" s="7" t="s">
        <v>343</v>
      </c>
      <c r="CR34" s="7" t="s">
        <v>344</v>
      </c>
    </row>
    <row r="35" spans="1:97" ht="63.75" x14ac:dyDescent="0.2">
      <c r="A35" s="6" t="s">
        <v>65</v>
      </c>
      <c r="B35" s="7" t="s">
        <v>251</v>
      </c>
      <c r="C35" s="7" t="s">
        <v>331</v>
      </c>
      <c r="D35" s="7" t="s">
        <v>2777</v>
      </c>
      <c r="F35" s="7" t="s">
        <v>334</v>
      </c>
      <c r="I35" s="7" t="s">
        <v>334</v>
      </c>
      <c r="K35" s="7" t="s">
        <v>2869</v>
      </c>
      <c r="M35" s="7" t="s">
        <v>539</v>
      </c>
      <c r="N35" s="13">
        <v>20</v>
      </c>
      <c r="O35" s="13">
        <v>50</v>
      </c>
      <c r="P35" s="7" t="s">
        <v>251</v>
      </c>
      <c r="Q35" s="13">
        <v>50</v>
      </c>
      <c r="R35" s="7" t="s">
        <v>534</v>
      </c>
      <c r="T35" s="7" t="s">
        <v>251</v>
      </c>
      <c r="U35" s="13">
        <v>50</v>
      </c>
      <c r="V35" s="7" t="s">
        <v>2861</v>
      </c>
      <c r="X35" s="14"/>
      <c r="Y35" s="14">
        <v>1500</v>
      </c>
      <c r="Z35" s="14">
        <v>1500</v>
      </c>
      <c r="AA35" s="14">
        <v>1500</v>
      </c>
      <c r="AB35" s="14">
        <v>2000</v>
      </c>
      <c r="AC35" s="14"/>
      <c r="AD35" s="7" t="s">
        <v>251</v>
      </c>
      <c r="AF35" s="7" t="s">
        <v>336</v>
      </c>
      <c r="AH35" s="15"/>
      <c r="AI35" s="13"/>
      <c r="AL35" s="7" t="s">
        <v>336</v>
      </c>
      <c r="AM35" s="7" t="s">
        <v>336</v>
      </c>
      <c r="AN35" s="7" t="s">
        <v>336</v>
      </c>
      <c r="AR35" s="7" t="s">
        <v>337</v>
      </c>
      <c r="AT35" s="7" t="s">
        <v>130</v>
      </c>
      <c r="AU35" s="7" t="s">
        <v>624</v>
      </c>
      <c r="AW35" s="7" t="s">
        <v>350</v>
      </c>
      <c r="AY35" s="7" t="s">
        <v>251</v>
      </c>
      <c r="AZ35" s="7" t="s">
        <v>331</v>
      </c>
      <c r="BA35" s="7" t="s">
        <v>2777</v>
      </c>
      <c r="BC35" s="7" t="s">
        <v>334</v>
      </c>
      <c r="BF35" s="7" t="s">
        <v>334</v>
      </c>
      <c r="BH35" s="7" t="s">
        <v>334</v>
      </c>
      <c r="BJ35" s="7" t="s">
        <v>2865</v>
      </c>
      <c r="BL35" s="7" t="s">
        <v>536</v>
      </c>
      <c r="BM35" s="7" t="s">
        <v>536</v>
      </c>
      <c r="BN35" s="7" t="s">
        <v>536</v>
      </c>
      <c r="BR35" s="7" t="s">
        <v>625</v>
      </c>
      <c r="BS35" s="14">
        <v>250</v>
      </c>
      <c r="BT35" s="14">
        <v>250</v>
      </c>
      <c r="BU35" s="14"/>
      <c r="BV35" s="14"/>
      <c r="BW35" s="14"/>
      <c r="BX35" s="14"/>
      <c r="BY35" s="7" t="s">
        <v>251</v>
      </c>
      <c r="CA35" s="7" t="s">
        <v>336</v>
      </c>
      <c r="CG35" s="7" t="s">
        <v>336</v>
      </c>
      <c r="CH35" s="7" t="s">
        <v>336</v>
      </c>
      <c r="CI35" s="7" t="s">
        <v>336</v>
      </c>
      <c r="CM35" s="7" t="s">
        <v>337</v>
      </c>
      <c r="CO35" s="7" t="s">
        <v>130</v>
      </c>
      <c r="CP35" s="7" t="s">
        <v>626</v>
      </c>
      <c r="CR35" s="7" t="s">
        <v>350</v>
      </c>
    </row>
    <row r="36" spans="1:97" ht="76.5" x14ac:dyDescent="0.2">
      <c r="A36" s="6" t="s">
        <v>59</v>
      </c>
      <c r="B36" s="7" t="s">
        <v>251</v>
      </c>
      <c r="C36" s="7" t="s">
        <v>331</v>
      </c>
      <c r="D36" s="7" t="s">
        <v>2777</v>
      </c>
      <c r="F36" s="7" t="s">
        <v>334</v>
      </c>
      <c r="I36" s="7" t="s">
        <v>334</v>
      </c>
      <c r="K36" s="7" t="s">
        <v>2868</v>
      </c>
      <c r="M36" s="7" t="s">
        <v>542</v>
      </c>
      <c r="N36" s="13"/>
      <c r="O36" s="13">
        <v>10</v>
      </c>
      <c r="P36" s="7" t="s">
        <v>251</v>
      </c>
      <c r="Q36" s="13">
        <v>50</v>
      </c>
      <c r="R36" s="7" t="s">
        <v>540</v>
      </c>
      <c r="T36" s="7" t="s">
        <v>251</v>
      </c>
      <c r="U36" s="13">
        <v>50</v>
      </c>
      <c r="V36" s="7" t="s">
        <v>544</v>
      </c>
      <c r="X36" s="14">
        <v>2000</v>
      </c>
      <c r="Y36" s="14"/>
      <c r="Z36" s="14"/>
      <c r="AA36" s="14"/>
      <c r="AB36" s="14"/>
      <c r="AC36" s="14"/>
      <c r="AD36" s="7" t="s">
        <v>251</v>
      </c>
      <c r="AF36" s="7" t="s">
        <v>336</v>
      </c>
      <c r="AH36" s="15"/>
      <c r="AI36" s="13"/>
      <c r="AL36" s="7" t="s">
        <v>616</v>
      </c>
      <c r="AM36" s="7" t="s">
        <v>616</v>
      </c>
      <c r="AN36" s="7" t="s">
        <v>616</v>
      </c>
      <c r="AR36" s="7" t="s">
        <v>337</v>
      </c>
      <c r="AT36" s="7" t="s">
        <v>556</v>
      </c>
      <c r="AW36" s="7" t="s">
        <v>338</v>
      </c>
      <c r="AY36" s="7" t="s">
        <v>251</v>
      </c>
      <c r="AZ36" s="7" t="s">
        <v>331</v>
      </c>
      <c r="BA36" s="7" t="s">
        <v>2777</v>
      </c>
      <c r="BC36" s="7" t="s">
        <v>334</v>
      </c>
      <c r="BF36" s="7" t="s">
        <v>334</v>
      </c>
      <c r="BH36" s="7" t="s">
        <v>334</v>
      </c>
      <c r="BI36" s="13"/>
      <c r="BJ36" s="7" t="s">
        <v>2864</v>
      </c>
      <c r="BN36" s="7" t="s">
        <v>536</v>
      </c>
      <c r="BR36" s="7" t="s">
        <v>617</v>
      </c>
      <c r="BS36" s="14">
        <v>250</v>
      </c>
      <c r="BT36" s="14">
        <v>250</v>
      </c>
      <c r="BU36" s="14"/>
      <c r="BV36" s="14">
        <v>250</v>
      </c>
      <c r="BW36" s="14"/>
      <c r="BX36" s="14"/>
      <c r="BY36" s="7" t="s">
        <v>334</v>
      </c>
      <c r="BZ36" s="7" t="s">
        <v>618</v>
      </c>
      <c r="CA36" s="7" t="s">
        <v>336</v>
      </c>
      <c r="CD36" s="13"/>
      <c r="CG36" s="7" t="s">
        <v>336</v>
      </c>
      <c r="CH36" s="7" t="s">
        <v>336</v>
      </c>
      <c r="CI36" s="7" t="s">
        <v>336</v>
      </c>
      <c r="CM36" s="7" t="s">
        <v>337</v>
      </c>
      <c r="CO36" s="7" t="s">
        <v>535</v>
      </c>
      <c r="CR36" s="7" t="s">
        <v>344</v>
      </c>
    </row>
    <row r="37" spans="1:97" ht="76.5" x14ac:dyDescent="0.2">
      <c r="A37" s="6" t="s">
        <v>36</v>
      </c>
      <c r="B37" s="7" t="s">
        <v>251</v>
      </c>
      <c r="C37" s="7" t="s">
        <v>331</v>
      </c>
      <c r="D37" s="7" t="s">
        <v>2777</v>
      </c>
      <c r="F37" s="7" t="s">
        <v>334</v>
      </c>
      <c r="I37" s="7" t="s">
        <v>334</v>
      </c>
      <c r="K37" s="7" t="s">
        <v>2868</v>
      </c>
      <c r="M37" s="7" t="s">
        <v>542</v>
      </c>
      <c r="N37" s="13"/>
      <c r="O37" s="13">
        <v>10</v>
      </c>
      <c r="P37" s="7" t="s">
        <v>251</v>
      </c>
      <c r="Q37" s="13">
        <v>50</v>
      </c>
      <c r="R37" s="7" t="s">
        <v>540</v>
      </c>
      <c r="T37" s="7" t="s">
        <v>251</v>
      </c>
      <c r="U37" s="13">
        <v>50</v>
      </c>
      <c r="V37" s="7" t="s">
        <v>2856</v>
      </c>
      <c r="X37" s="14">
        <v>2000</v>
      </c>
      <c r="Y37" s="14"/>
      <c r="Z37" s="14"/>
      <c r="AA37" s="14"/>
      <c r="AB37" s="14">
        <v>2500</v>
      </c>
      <c r="AC37" s="14"/>
      <c r="AD37" s="7" t="s">
        <v>251</v>
      </c>
      <c r="AF37" s="7" t="s">
        <v>336</v>
      </c>
      <c r="AH37" s="15"/>
      <c r="AI37" s="13"/>
      <c r="AL37" s="7" t="s">
        <v>336</v>
      </c>
      <c r="AM37" s="7" t="s">
        <v>336</v>
      </c>
      <c r="AN37" s="7" t="s">
        <v>336</v>
      </c>
      <c r="AR37" s="7" t="s">
        <v>337</v>
      </c>
      <c r="AT37" s="7" t="s">
        <v>535</v>
      </c>
      <c r="AW37" s="7" t="s">
        <v>338</v>
      </c>
      <c r="AY37" s="7" t="s">
        <v>251</v>
      </c>
      <c r="AZ37" s="7" t="s">
        <v>331</v>
      </c>
      <c r="BA37" s="7" t="s">
        <v>2777</v>
      </c>
      <c r="BC37" s="7" t="s">
        <v>334</v>
      </c>
      <c r="BF37" s="7" t="s">
        <v>334</v>
      </c>
      <c r="BH37" s="7" t="s">
        <v>334</v>
      </c>
      <c r="BI37" s="13"/>
      <c r="BJ37" s="7" t="s">
        <v>2864</v>
      </c>
      <c r="BL37" s="7" t="s">
        <v>536</v>
      </c>
      <c r="BM37" s="7" t="s">
        <v>536</v>
      </c>
      <c r="BN37" s="7" t="s">
        <v>536</v>
      </c>
      <c r="BO37" s="7" t="s">
        <v>536</v>
      </c>
      <c r="BS37" s="14">
        <v>300</v>
      </c>
      <c r="BT37" s="14">
        <v>300</v>
      </c>
      <c r="BU37" s="14"/>
      <c r="BV37" s="14">
        <v>300</v>
      </c>
      <c r="BW37" s="14"/>
      <c r="BX37" s="14"/>
      <c r="BY37" s="7" t="s">
        <v>251</v>
      </c>
      <c r="CA37" s="7" t="s">
        <v>336</v>
      </c>
      <c r="CC37" s="14"/>
      <c r="CD37" s="13"/>
      <c r="CG37" s="7" t="s">
        <v>336</v>
      </c>
      <c r="CH37" s="7" t="s">
        <v>336</v>
      </c>
      <c r="CI37" s="7" t="s">
        <v>336</v>
      </c>
      <c r="CM37" s="7" t="s">
        <v>337</v>
      </c>
      <c r="CO37" s="7" t="s">
        <v>535</v>
      </c>
      <c r="CR37" s="7" t="s">
        <v>338</v>
      </c>
    </row>
    <row r="38" spans="1:97" ht="76.5" x14ac:dyDescent="0.2">
      <c r="A38" s="6" t="s">
        <v>28</v>
      </c>
      <c r="B38" s="7" t="s">
        <v>251</v>
      </c>
      <c r="C38" s="7" t="s">
        <v>331</v>
      </c>
      <c r="D38" s="7" t="s">
        <v>2777</v>
      </c>
      <c r="F38" s="7" t="s">
        <v>334</v>
      </c>
      <c r="I38" s="7" t="s">
        <v>334</v>
      </c>
      <c r="K38" s="7" t="s">
        <v>2868</v>
      </c>
      <c r="M38" s="7" t="s">
        <v>334</v>
      </c>
      <c r="N38" s="13"/>
      <c r="O38" s="13"/>
      <c r="P38" s="7" t="s">
        <v>251</v>
      </c>
      <c r="Q38" s="13">
        <v>50</v>
      </c>
      <c r="R38" s="7" t="s">
        <v>534</v>
      </c>
      <c r="T38" s="7" t="s">
        <v>251</v>
      </c>
      <c r="U38" s="13">
        <v>50</v>
      </c>
      <c r="V38" s="7" t="s">
        <v>2856</v>
      </c>
      <c r="X38" s="14">
        <v>2000</v>
      </c>
      <c r="Y38" s="14"/>
      <c r="Z38" s="14"/>
      <c r="AA38" s="14"/>
      <c r="AB38" s="14">
        <v>2000</v>
      </c>
      <c r="AC38" s="14"/>
      <c r="AD38" s="7" t="s">
        <v>251</v>
      </c>
      <c r="AF38" s="7" t="s">
        <v>336</v>
      </c>
      <c r="AH38" s="15"/>
      <c r="AI38" s="13"/>
      <c r="AL38" s="7" t="s">
        <v>336</v>
      </c>
      <c r="AM38" s="7" t="s">
        <v>336</v>
      </c>
      <c r="AN38" s="7" t="s">
        <v>336</v>
      </c>
      <c r="AR38" s="7" t="s">
        <v>337</v>
      </c>
      <c r="AT38" s="7" t="s">
        <v>535</v>
      </c>
      <c r="AW38" s="7" t="s">
        <v>338</v>
      </c>
      <c r="AY38" s="7" t="s">
        <v>251</v>
      </c>
      <c r="AZ38" s="7" t="s">
        <v>331</v>
      </c>
      <c r="BA38" s="7" t="s">
        <v>2777</v>
      </c>
      <c r="BC38" s="7" t="s">
        <v>334</v>
      </c>
      <c r="BF38" s="7" t="s">
        <v>334</v>
      </c>
      <c r="BH38" s="7" t="s">
        <v>334</v>
      </c>
      <c r="BI38" s="13"/>
      <c r="BJ38" s="7" t="s">
        <v>2864</v>
      </c>
      <c r="BL38" s="7" t="s">
        <v>536</v>
      </c>
      <c r="BM38" s="7" t="s">
        <v>536</v>
      </c>
      <c r="BN38" s="7" t="s">
        <v>536</v>
      </c>
      <c r="BO38" s="7" t="s">
        <v>536</v>
      </c>
      <c r="BS38" s="14">
        <v>250</v>
      </c>
      <c r="BT38" s="14">
        <v>250</v>
      </c>
      <c r="BU38" s="14">
        <v>150</v>
      </c>
      <c r="BV38" s="14">
        <v>250</v>
      </c>
      <c r="BW38" s="14"/>
      <c r="BX38" s="14"/>
      <c r="BY38" s="7" t="s">
        <v>251</v>
      </c>
      <c r="CA38" s="7" t="s">
        <v>336</v>
      </c>
      <c r="CC38" s="14"/>
      <c r="CD38" s="13"/>
      <c r="CG38" s="7" t="s">
        <v>336</v>
      </c>
      <c r="CH38" s="7" t="s">
        <v>336</v>
      </c>
      <c r="CI38" s="7" t="s">
        <v>336</v>
      </c>
      <c r="CM38" s="7" t="s">
        <v>337</v>
      </c>
      <c r="CO38" s="7" t="s">
        <v>535</v>
      </c>
      <c r="CR38" s="7" t="s">
        <v>338</v>
      </c>
    </row>
    <row r="39" spans="1:97" ht="63.75" x14ac:dyDescent="0.2">
      <c r="A39" s="6" t="s">
        <v>52</v>
      </c>
      <c r="B39" s="7" t="s">
        <v>251</v>
      </c>
      <c r="C39" s="7" t="s">
        <v>331</v>
      </c>
      <c r="D39" s="7" t="s">
        <v>2777</v>
      </c>
      <c r="F39" s="7" t="s">
        <v>334</v>
      </c>
      <c r="I39" s="7" t="s">
        <v>334</v>
      </c>
      <c r="K39" s="7" t="s">
        <v>2872</v>
      </c>
      <c r="M39" s="7" t="s">
        <v>334</v>
      </c>
      <c r="N39" s="13"/>
      <c r="O39" s="13"/>
      <c r="P39" s="7" t="s">
        <v>251</v>
      </c>
      <c r="Q39" s="13">
        <v>50</v>
      </c>
      <c r="R39" s="7" t="s">
        <v>540</v>
      </c>
      <c r="T39" s="7" t="s">
        <v>251</v>
      </c>
      <c r="U39" s="13">
        <v>50</v>
      </c>
      <c r="V39" s="7" t="s">
        <v>2875</v>
      </c>
      <c r="W39" s="7" t="s">
        <v>606</v>
      </c>
      <c r="X39" s="14"/>
      <c r="Y39" s="14"/>
      <c r="Z39" s="14"/>
      <c r="AA39" s="14"/>
      <c r="AB39" s="14">
        <v>2000</v>
      </c>
      <c r="AC39" s="14">
        <v>2500</v>
      </c>
      <c r="AD39" s="7" t="s">
        <v>251</v>
      </c>
      <c r="AF39" s="7" t="s">
        <v>336</v>
      </c>
      <c r="AH39" s="15"/>
      <c r="AI39" s="13"/>
      <c r="AL39" s="7" t="s">
        <v>336</v>
      </c>
      <c r="AM39" s="7" t="s">
        <v>336</v>
      </c>
      <c r="AN39" s="7" t="s">
        <v>336</v>
      </c>
      <c r="AR39" s="7" t="s">
        <v>337</v>
      </c>
      <c r="AT39" s="7" t="s">
        <v>535</v>
      </c>
      <c r="AW39" s="7" t="s">
        <v>338</v>
      </c>
      <c r="AY39" s="7" t="s">
        <v>251</v>
      </c>
      <c r="AZ39" s="7" t="s">
        <v>331</v>
      </c>
      <c r="BA39" s="7" t="s">
        <v>2777</v>
      </c>
      <c r="BC39" s="7" t="s">
        <v>334</v>
      </c>
      <c r="BF39" s="7" t="s">
        <v>334</v>
      </c>
      <c r="BH39" s="7" t="s">
        <v>334</v>
      </c>
      <c r="BI39" s="13"/>
      <c r="BJ39" s="7" t="s">
        <v>2865</v>
      </c>
      <c r="BL39" s="7" t="s">
        <v>536</v>
      </c>
      <c r="BM39" s="7" t="s">
        <v>536</v>
      </c>
      <c r="BN39" s="7" t="s">
        <v>537</v>
      </c>
      <c r="BS39" s="14">
        <v>300</v>
      </c>
      <c r="BT39" s="14">
        <v>300</v>
      </c>
      <c r="BU39" s="14"/>
      <c r="BV39" s="14"/>
      <c r="BW39" s="14"/>
      <c r="BX39" s="14"/>
      <c r="BY39" s="7" t="s">
        <v>334</v>
      </c>
      <c r="BZ39" s="7" t="s">
        <v>607</v>
      </c>
      <c r="CA39" s="7" t="s">
        <v>336</v>
      </c>
      <c r="CC39" s="14"/>
      <c r="CD39" s="13"/>
      <c r="CG39" s="7" t="s">
        <v>336</v>
      </c>
      <c r="CH39" s="7" t="s">
        <v>336</v>
      </c>
      <c r="CI39" s="7" t="s">
        <v>336</v>
      </c>
      <c r="CM39" s="7" t="s">
        <v>337</v>
      </c>
      <c r="CO39" s="7" t="s">
        <v>535</v>
      </c>
      <c r="CR39" s="7" t="s">
        <v>338</v>
      </c>
    </row>
    <row r="40" spans="1:97" ht="63.75" x14ac:dyDescent="0.2">
      <c r="A40" s="6" t="s">
        <v>19</v>
      </c>
      <c r="B40" s="7" t="s">
        <v>251</v>
      </c>
      <c r="C40" s="7" t="s">
        <v>331</v>
      </c>
      <c r="D40" s="7" t="s">
        <v>2777</v>
      </c>
      <c r="F40" s="7" t="s">
        <v>334</v>
      </c>
      <c r="I40" s="7" t="s">
        <v>334</v>
      </c>
      <c r="K40" s="7" t="s">
        <v>2873</v>
      </c>
      <c r="M40" s="7" t="s">
        <v>539</v>
      </c>
      <c r="N40" s="13">
        <v>10</v>
      </c>
      <c r="O40" s="13">
        <v>10</v>
      </c>
      <c r="P40" s="7" t="s">
        <v>251</v>
      </c>
      <c r="Q40" s="13">
        <v>50</v>
      </c>
      <c r="U40" s="13"/>
      <c r="V40" s="7" t="s">
        <v>544</v>
      </c>
      <c r="X40" s="14">
        <v>2000</v>
      </c>
      <c r="Y40" s="14"/>
      <c r="Z40" s="14"/>
      <c r="AA40" s="14"/>
      <c r="AB40" s="14"/>
      <c r="AC40" s="14"/>
      <c r="AD40" s="7" t="s">
        <v>251</v>
      </c>
      <c r="AF40" s="7" t="s">
        <v>336</v>
      </c>
      <c r="AH40" s="15"/>
      <c r="AI40" s="13"/>
      <c r="AL40" s="7" t="s">
        <v>336</v>
      </c>
      <c r="AM40" s="7" t="s">
        <v>336</v>
      </c>
      <c r="AN40" s="7" t="s">
        <v>336</v>
      </c>
      <c r="AR40" s="7" t="s">
        <v>337</v>
      </c>
      <c r="AT40" s="7" t="s">
        <v>535</v>
      </c>
      <c r="AW40" s="7" t="s">
        <v>338</v>
      </c>
      <c r="AY40" s="7" t="s">
        <v>251</v>
      </c>
      <c r="AZ40" s="7" t="s">
        <v>331</v>
      </c>
      <c r="BA40" s="7" t="s">
        <v>2777</v>
      </c>
      <c r="BC40" s="7" t="s">
        <v>334</v>
      </c>
      <c r="BF40" s="7" t="s">
        <v>334</v>
      </c>
      <c r="BH40" s="7" t="s">
        <v>334</v>
      </c>
      <c r="BI40" s="13"/>
      <c r="BJ40" s="7" t="s">
        <v>2893</v>
      </c>
      <c r="BK40" s="7" t="s">
        <v>554</v>
      </c>
      <c r="BL40" s="7" t="s">
        <v>536</v>
      </c>
      <c r="BM40" s="7" t="s">
        <v>536</v>
      </c>
      <c r="BN40" s="7" t="s">
        <v>536</v>
      </c>
      <c r="BO40" s="7" t="s">
        <v>536</v>
      </c>
      <c r="BQ40" s="7" t="s">
        <v>536</v>
      </c>
      <c r="BS40" s="14">
        <v>250</v>
      </c>
      <c r="BT40" s="14">
        <v>250</v>
      </c>
      <c r="BU40" s="14">
        <v>250</v>
      </c>
      <c r="BV40" s="14">
        <v>250</v>
      </c>
      <c r="BW40" s="14"/>
      <c r="BX40" s="14">
        <v>250</v>
      </c>
      <c r="BY40" s="7" t="s">
        <v>251</v>
      </c>
      <c r="CA40" s="7" t="s">
        <v>336</v>
      </c>
      <c r="CC40" s="14"/>
      <c r="CD40" s="13"/>
      <c r="CG40" s="7" t="s">
        <v>336</v>
      </c>
      <c r="CH40" s="7" t="s">
        <v>336</v>
      </c>
      <c r="CI40" s="7" t="s">
        <v>336</v>
      </c>
      <c r="CM40" s="7" t="s">
        <v>337</v>
      </c>
      <c r="CO40" s="7" t="s">
        <v>535</v>
      </c>
      <c r="CR40" s="7" t="s">
        <v>338</v>
      </c>
    </row>
    <row r="41" spans="1:97" ht="191.25" x14ac:dyDescent="0.2">
      <c r="A41" s="6" t="s">
        <v>51</v>
      </c>
      <c r="B41" s="7" t="s">
        <v>251</v>
      </c>
      <c r="C41" s="7" t="s">
        <v>331</v>
      </c>
      <c r="D41" s="7" t="s">
        <v>2777</v>
      </c>
      <c r="F41" s="7" t="s">
        <v>334</v>
      </c>
      <c r="I41" s="7" t="s">
        <v>251</v>
      </c>
      <c r="J41" s="7" t="s">
        <v>3361</v>
      </c>
      <c r="K41" s="7" t="s">
        <v>2872</v>
      </c>
      <c r="M41" s="7" t="s">
        <v>539</v>
      </c>
      <c r="N41" s="13">
        <v>20</v>
      </c>
      <c r="O41" s="13">
        <v>50</v>
      </c>
      <c r="P41" s="7" t="s">
        <v>251</v>
      </c>
      <c r="Q41" s="13">
        <v>50</v>
      </c>
      <c r="R41" s="7" t="s">
        <v>534</v>
      </c>
      <c r="T41" s="7" t="s">
        <v>251</v>
      </c>
      <c r="U41" s="13">
        <v>50</v>
      </c>
      <c r="V41" s="7" t="s">
        <v>2859</v>
      </c>
      <c r="X41" s="14">
        <v>1500</v>
      </c>
      <c r="Y41" s="14">
        <v>1500</v>
      </c>
      <c r="Z41" s="14">
        <v>1500</v>
      </c>
      <c r="AA41" s="14">
        <v>1500</v>
      </c>
      <c r="AB41" s="14">
        <v>1500</v>
      </c>
      <c r="AC41" s="14"/>
      <c r="AD41" s="7" t="s">
        <v>251</v>
      </c>
      <c r="AF41" s="7" t="s">
        <v>336</v>
      </c>
      <c r="AH41" s="15"/>
      <c r="AI41" s="13"/>
      <c r="AL41" s="7" t="s">
        <v>336</v>
      </c>
      <c r="AM41" s="7" t="s">
        <v>336</v>
      </c>
      <c r="AN41" s="7" t="s">
        <v>336</v>
      </c>
      <c r="AR41" s="7" t="s">
        <v>343</v>
      </c>
      <c r="AW41" s="7" t="s">
        <v>344</v>
      </c>
      <c r="AY41" s="7" t="s">
        <v>251</v>
      </c>
      <c r="AZ41" s="7" t="s">
        <v>331</v>
      </c>
      <c r="BA41" s="7" t="s">
        <v>2777</v>
      </c>
      <c r="BC41" s="7" t="s">
        <v>334</v>
      </c>
      <c r="BF41" s="7" t="s">
        <v>251</v>
      </c>
      <c r="BG41" s="7" t="s">
        <v>605</v>
      </c>
      <c r="BH41" s="7" t="s">
        <v>334</v>
      </c>
      <c r="BI41" s="13"/>
      <c r="BJ41" s="7" t="s">
        <v>2864</v>
      </c>
      <c r="BL41" s="7" t="s">
        <v>536</v>
      </c>
      <c r="BM41" s="7" t="s">
        <v>536</v>
      </c>
      <c r="BN41" s="7" t="s">
        <v>536</v>
      </c>
      <c r="BO41" s="7" t="s">
        <v>536</v>
      </c>
      <c r="BS41" s="14">
        <v>200</v>
      </c>
      <c r="BT41" s="14">
        <v>200</v>
      </c>
      <c r="BU41" s="14">
        <v>200</v>
      </c>
      <c r="BV41" s="14">
        <v>200</v>
      </c>
      <c r="BW41" s="14"/>
      <c r="BX41" s="14"/>
      <c r="BY41" s="7" t="s">
        <v>251</v>
      </c>
      <c r="CA41" s="7" t="s">
        <v>336</v>
      </c>
      <c r="CC41" s="14"/>
      <c r="CD41" s="13"/>
      <c r="CG41" s="7" t="s">
        <v>336</v>
      </c>
      <c r="CH41" s="7" t="s">
        <v>336</v>
      </c>
      <c r="CI41" s="7" t="s">
        <v>336</v>
      </c>
      <c r="CM41" s="7" t="s">
        <v>343</v>
      </c>
      <c r="CR41" s="7" t="s">
        <v>344</v>
      </c>
    </row>
    <row r="42" spans="1:97" ht="51" x14ac:dyDescent="0.2">
      <c r="A42" s="6" t="s">
        <v>47</v>
      </c>
      <c r="B42" s="7" t="s">
        <v>251</v>
      </c>
      <c r="C42" s="7" t="s">
        <v>331</v>
      </c>
      <c r="D42" s="7" t="s">
        <v>2777</v>
      </c>
      <c r="F42" s="7" t="s">
        <v>334</v>
      </c>
      <c r="I42" s="7" t="s">
        <v>334</v>
      </c>
      <c r="K42" s="7" t="s">
        <v>2883</v>
      </c>
      <c r="M42" s="7" t="s">
        <v>334</v>
      </c>
      <c r="N42" s="13"/>
      <c r="O42" s="13"/>
      <c r="P42" s="7" t="s">
        <v>251</v>
      </c>
      <c r="Q42" s="13">
        <v>50</v>
      </c>
      <c r="R42" s="7" t="s">
        <v>534</v>
      </c>
      <c r="T42" s="7" t="s">
        <v>251</v>
      </c>
      <c r="U42" s="13">
        <v>50</v>
      </c>
      <c r="V42" s="7" t="s">
        <v>544</v>
      </c>
      <c r="X42" s="14">
        <v>2500</v>
      </c>
      <c r="Y42" s="14"/>
      <c r="Z42" s="14"/>
      <c r="AA42" s="14"/>
      <c r="AB42" s="14"/>
      <c r="AC42" s="14"/>
      <c r="AD42" s="7" t="s">
        <v>251</v>
      </c>
      <c r="AF42" s="7" t="s">
        <v>336</v>
      </c>
      <c r="AH42" s="15"/>
      <c r="AI42" s="13"/>
      <c r="AL42" s="7" t="s">
        <v>336</v>
      </c>
      <c r="AM42" s="7" t="s">
        <v>336</v>
      </c>
      <c r="AN42" s="7" t="s">
        <v>336</v>
      </c>
      <c r="AR42" s="7" t="s">
        <v>337</v>
      </c>
      <c r="AT42" s="7" t="s">
        <v>535</v>
      </c>
      <c r="AW42" s="7" t="s">
        <v>338</v>
      </c>
      <c r="AY42" s="7" t="s">
        <v>251</v>
      </c>
      <c r="AZ42" s="7" t="s">
        <v>331</v>
      </c>
      <c r="BA42" s="7" t="s">
        <v>2777</v>
      </c>
      <c r="BC42" s="7" t="s">
        <v>334</v>
      </c>
      <c r="BF42" s="7" t="s">
        <v>334</v>
      </c>
      <c r="BH42" s="7" t="s">
        <v>251</v>
      </c>
      <c r="BI42" s="13">
        <v>90</v>
      </c>
      <c r="BJ42" s="7" t="s">
        <v>2895</v>
      </c>
      <c r="BK42" s="7" t="s">
        <v>598</v>
      </c>
      <c r="BN42" s="7" t="s">
        <v>536</v>
      </c>
      <c r="BR42" s="7" t="s">
        <v>599</v>
      </c>
      <c r="BS42" s="14"/>
      <c r="BT42" s="14"/>
      <c r="BU42" s="14">
        <v>250</v>
      </c>
      <c r="BV42" s="14"/>
      <c r="BW42" s="14"/>
      <c r="BX42" s="14">
        <v>200</v>
      </c>
      <c r="BY42" s="7" t="s">
        <v>251</v>
      </c>
      <c r="CA42" s="7" t="s">
        <v>336</v>
      </c>
      <c r="CC42" s="14"/>
      <c r="CD42" s="13"/>
      <c r="CG42" s="7" t="s">
        <v>336</v>
      </c>
      <c r="CH42" s="7" t="s">
        <v>336</v>
      </c>
      <c r="CI42" s="7" t="s">
        <v>336</v>
      </c>
      <c r="CM42" s="7" t="s">
        <v>337</v>
      </c>
      <c r="CO42" s="7" t="s">
        <v>535</v>
      </c>
      <c r="CR42" s="7" t="s">
        <v>338</v>
      </c>
    </row>
    <row r="43" spans="1:97" ht="76.5" x14ac:dyDescent="0.2">
      <c r="A43" s="6" t="s">
        <v>56</v>
      </c>
      <c r="B43" s="7" t="s">
        <v>251</v>
      </c>
      <c r="C43" s="7" t="s">
        <v>331</v>
      </c>
      <c r="D43" s="7" t="s">
        <v>2777</v>
      </c>
      <c r="F43" s="7" t="s">
        <v>334</v>
      </c>
      <c r="I43" s="7" t="s">
        <v>334</v>
      </c>
      <c r="K43" s="7" t="s">
        <v>2886</v>
      </c>
      <c r="L43" s="7" t="s">
        <v>610</v>
      </c>
      <c r="M43" s="7" t="s">
        <v>334</v>
      </c>
      <c r="N43" s="13"/>
      <c r="O43" s="13"/>
      <c r="P43" s="7" t="s">
        <v>251</v>
      </c>
      <c r="Q43" s="13">
        <v>50</v>
      </c>
      <c r="R43" s="7" t="s">
        <v>540</v>
      </c>
      <c r="T43" s="7" t="s">
        <v>251</v>
      </c>
      <c r="U43" s="13">
        <v>50</v>
      </c>
      <c r="V43" s="7" t="s">
        <v>544</v>
      </c>
      <c r="X43" s="14">
        <v>2000</v>
      </c>
      <c r="Y43" s="14"/>
      <c r="Z43" s="14"/>
      <c r="AA43" s="14"/>
      <c r="AB43" s="14"/>
      <c r="AC43" s="14"/>
      <c r="AD43" s="7" t="s">
        <v>251</v>
      </c>
      <c r="AF43" s="7" t="s">
        <v>336</v>
      </c>
      <c r="AH43" s="15"/>
      <c r="AI43" s="13"/>
      <c r="AL43" s="7" t="s">
        <v>336</v>
      </c>
      <c r="AM43" s="7" t="s">
        <v>336</v>
      </c>
      <c r="AN43" s="7" t="s">
        <v>336</v>
      </c>
      <c r="AR43" s="7" t="s">
        <v>343</v>
      </c>
      <c r="AW43" s="7" t="s">
        <v>344</v>
      </c>
      <c r="AY43" s="7" t="s">
        <v>251</v>
      </c>
      <c r="AZ43" s="7" t="s">
        <v>331</v>
      </c>
      <c r="BA43" s="7" t="s">
        <v>2777</v>
      </c>
      <c r="BC43" s="7" t="s">
        <v>334</v>
      </c>
      <c r="BF43" s="7" t="s">
        <v>334</v>
      </c>
      <c r="BH43" s="7" t="s">
        <v>334</v>
      </c>
      <c r="BI43" s="13"/>
      <c r="BJ43" s="7" t="s">
        <v>2864</v>
      </c>
      <c r="BL43" s="7" t="s">
        <v>536</v>
      </c>
      <c r="BM43" s="7" t="s">
        <v>536</v>
      </c>
      <c r="BN43" s="7" t="s">
        <v>536</v>
      </c>
      <c r="BO43" s="7" t="s">
        <v>536</v>
      </c>
      <c r="BS43" s="14">
        <v>350</v>
      </c>
      <c r="BT43" s="14">
        <v>350</v>
      </c>
      <c r="BU43" s="14">
        <v>100</v>
      </c>
      <c r="BV43" s="14">
        <v>350</v>
      </c>
      <c r="BW43" s="14"/>
      <c r="BX43" s="14"/>
      <c r="BY43" s="7" t="s">
        <v>334</v>
      </c>
      <c r="BZ43" s="7" t="s">
        <v>611</v>
      </c>
      <c r="CA43" s="7" t="s">
        <v>336</v>
      </c>
      <c r="CC43" s="14"/>
      <c r="CD43" s="13"/>
      <c r="CG43" s="7" t="s">
        <v>336</v>
      </c>
      <c r="CH43" s="7" t="s">
        <v>336</v>
      </c>
      <c r="CI43" s="7" t="s">
        <v>336</v>
      </c>
      <c r="CM43" s="7" t="s">
        <v>343</v>
      </c>
      <c r="CR43" s="7" t="s">
        <v>344</v>
      </c>
    </row>
    <row r="44" spans="1:97" ht="63.75" x14ac:dyDescent="0.2">
      <c r="A44" s="6" t="s">
        <v>62</v>
      </c>
      <c r="B44" s="7" t="s">
        <v>251</v>
      </c>
      <c r="C44" s="7" t="s">
        <v>331</v>
      </c>
      <c r="D44" s="7" t="s">
        <v>2777</v>
      </c>
      <c r="F44" s="7" t="s">
        <v>334</v>
      </c>
      <c r="I44" s="7" t="s">
        <v>334</v>
      </c>
      <c r="K44" s="7" t="s">
        <v>2869</v>
      </c>
      <c r="M44" s="7" t="s">
        <v>334</v>
      </c>
      <c r="N44" s="13"/>
      <c r="O44" s="13"/>
      <c r="P44" s="7" t="s">
        <v>334</v>
      </c>
      <c r="Q44" s="13"/>
      <c r="R44" s="7" t="s">
        <v>534</v>
      </c>
      <c r="T44" s="7" t="s">
        <v>334</v>
      </c>
      <c r="U44" s="13"/>
      <c r="V44" s="7" t="s">
        <v>2860</v>
      </c>
      <c r="X44" s="14"/>
      <c r="Y44" s="14">
        <v>1500</v>
      </c>
      <c r="Z44" s="14"/>
      <c r="AA44" s="14">
        <v>2500</v>
      </c>
      <c r="AB44" s="14">
        <v>2500</v>
      </c>
      <c r="AC44" s="14"/>
      <c r="AD44" s="7" t="s">
        <v>251</v>
      </c>
      <c r="AF44" s="7" t="s">
        <v>336</v>
      </c>
      <c r="AH44" s="15"/>
      <c r="AI44" s="13"/>
      <c r="AL44" s="7" t="s">
        <v>336</v>
      </c>
      <c r="AM44" s="7" t="s">
        <v>336</v>
      </c>
      <c r="AN44" s="7" t="s">
        <v>336</v>
      </c>
      <c r="AR44" s="7" t="s">
        <v>337</v>
      </c>
      <c r="AT44" s="7" t="s">
        <v>556</v>
      </c>
      <c r="AW44" s="7" t="s">
        <v>350</v>
      </c>
      <c r="AY44" s="7" t="s">
        <v>251</v>
      </c>
      <c r="AZ44" s="7" t="s">
        <v>331</v>
      </c>
      <c r="BA44" s="7" t="s">
        <v>2777</v>
      </c>
      <c r="BC44" s="7" t="s">
        <v>334</v>
      </c>
      <c r="BF44" s="7" t="s">
        <v>334</v>
      </c>
      <c r="BH44" s="7" t="s">
        <v>334</v>
      </c>
      <c r="BI44" s="13"/>
      <c r="BJ44" s="7" t="s">
        <v>2864</v>
      </c>
      <c r="BL44" s="7" t="s">
        <v>536</v>
      </c>
      <c r="BM44" s="7" t="s">
        <v>536</v>
      </c>
      <c r="BN44" s="7" t="s">
        <v>537</v>
      </c>
      <c r="BO44" s="7" t="s">
        <v>536</v>
      </c>
      <c r="BS44" s="14">
        <v>250</v>
      </c>
      <c r="BT44" s="14">
        <v>250</v>
      </c>
      <c r="BU44" s="14"/>
      <c r="BV44" s="14">
        <v>250</v>
      </c>
      <c r="BW44" s="14"/>
      <c r="BX44" s="14"/>
      <c r="BY44" s="7" t="s">
        <v>251</v>
      </c>
      <c r="CA44" s="7" t="s">
        <v>336</v>
      </c>
      <c r="CD44" s="13"/>
      <c r="CG44" s="7" t="s">
        <v>336</v>
      </c>
      <c r="CH44" s="7" t="s">
        <v>336</v>
      </c>
      <c r="CI44" s="7" t="s">
        <v>336</v>
      </c>
      <c r="CM44" s="7" t="s">
        <v>337</v>
      </c>
      <c r="CO44" s="7" t="s">
        <v>620</v>
      </c>
      <c r="CQ44" s="7" t="s">
        <v>621</v>
      </c>
      <c r="CR44" s="7" t="s">
        <v>350</v>
      </c>
    </row>
    <row r="45" spans="1:97" ht="63.75" x14ac:dyDescent="0.2">
      <c r="A45" s="6" t="s">
        <v>21</v>
      </c>
      <c r="B45" s="7" t="s">
        <v>251</v>
      </c>
      <c r="C45" s="7" t="s">
        <v>331</v>
      </c>
      <c r="D45" s="7" t="s">
        <v>2777</v>
      </c>
      <c r="F45" s="7" t="s">
        <v>334</v>
      </c>
      <c r="I45" s="7" t="s">
        <v>334</v>
      </c>
      <c r="K45" s="7" t="s">
        <v>2869</v>
      </c>
      <c r="M45" s="7" t="s">
        <v>334</v>
      </c>
      <c r="N45" s="13"/>
      <c r="O45" s="13"/>
      <c r="P45" s="7" t="s">
        <v>334</v>
      </c>
      <c r="Q45" s="13"/>
      <c r="R45" s="7" t="s">
        <v>534</v>
      </c>
      <c r="T45" s="7" t="s">
        <v>334</v>
      </c>
      <c r="U45" s="13"/>
      <c r="V45" s="7" t="s">
        <v>2859</v>
      </c>
      <c r="X45" s="14">
        <v>2000</v>
      </c>
      <c r="Y45" s="14"/>
      <c r="Z45" s="14">
        <v>2000</v>
      </c>
      <c r="AA45" s="14"/>
      <c r="AB45" s="14">
        <v>1500</v>
      </c>
      <c r="AC45" s="14"/>
      <c r="AD45" s="7" t="s">
        <v>251</v>
      </c>
      <c r="AF45" s="7" t="s">
        <v>336</v>
      </c>
      <c r="AH45" s="15"/>
      <c r="AI45" s="13"/>
      <c r="AL45" s="7" t="s">
        <v>336</v>
      </c>
      <c r="AM45" s="7" t="s">
        <v>336</v>
      </c>
      <c r="AN45" s="7" t="s">
        <v>336</v>
      </c>
      <c r="AR45" s="7" t="s">
        <v>343</v>
      </c>
      <c r="AW45" s="7" t="s">
        <v>338</v>
      </c>
      <c r="AY45" s="7" t="s">
        <v>251</v>
      </c>
      <c r="AZ45" s="7" t="s">
        <v>331</v>
      </c>
      <c r="BA45" s="7" t="s">
        <v>2777</v>
      </c>
      <c r="BC45" s="7" t="s">
        <v>334</v>
      </c>
      <c r="BF45" s="7" t="s">
        <v>334</v>
      </c>
      <c r="BH45" s="7" t="s">
        <v>334</v>
      </c>
      <c r="BI45" s="13"/>
      <c r="BJ45" s="7" t="s">
        <v>2864</v>
      </c>
      <c r="BN45" s="7" t="s">
        <v>536</v>
      </c>
      <c r="BR45" s="7" t="s">
        <v>557</v>
      </c>
      <c r="BS45" s="14">
        <v>250</v>
      </c>
      <c r="BT45" s="14">
        <v>250</v>
      </c>
      <c r="BU45" s="14"/>
      <c r="BV45" s="14">
        <v>250</v>
      </c>
      <c r="BW45" s="14"/>
      <c r="BX45" s="14"/>
      <c r="BY45" s="7" t="s">
        <v>251</v>
      </c>
      <c r="CA45" s="7" t="s">
        <v>336</v>
      </c>
      <c r="CC45" s="14"/>
      <c r="CD45" s="13"/>
      <c r="CG45" s="7" t="s">
        <v>336</v>
      </c>
      <c r="CH45" s="7" t="s">
        <v>336</v>
      </c>
      <c r="CI45" s="7" t="s">
        <v>336</v>
      </c>
      <c r="CM45" s="7" t="s">
        <v>343</v>
      </c>
      <c r="CR45" s="7" t="s">
        <v>338</v>
      </c>
    </row>
    <row r="46" spans="1:97" ht="63.75" x14ac:dyDescent="0.2">
      <c r="A46" s="6" t="s">
        <v>12</v>
      </c>
      <c r="B46" s="7" t="s">
        <v>251</v>
      </c>
      <c r="C46" s="7" t="s">
        <v>331</v>
      </c>
      <c r="D46" s="7" t="s">
        <v>2777</v>
      </c>
      <c r="F46" s="7" t="s">
        <v>334</v>
      </c>
      <c r="I46" s="7" t="s">
        <v>334</v>
      </c>
      <c r="K46" s="7" t="s">
        <v>2869</v>
      </c>
      <c r="M46" s="7" t="s">
        <v>542</v>
      </c>
      <c r="N46" s="13"/>
      <c r="O46" s="13">
        <v>20</v>
      </c>
      <c r="P46" s="7" t="s">
        <v>251</v>
      </c>
      <c r="Q46" s="13">
        <v>50</v>
      </c>
      <c r="R46" s="7" t="s">
        <v>540</v>
      </c>
      <c r="T46" s="7" t="s">
        <v>251</v>
      </c>
      <c r="U46" s="13">
        <v>50</v>
      </c>
      <c r="V46" s="7" t="s">
        <v>2856</v>
      </c>
      <c r="X46" s="14">
        <v>2000</v>
      </c>
      <c r="Y46" s="14"/>
      <c r="Z46" s="14"/>
      <c r="AA46" s="14"/>
      <c r="AB46" s="14">
        <v>3000</v>
      </c>
      <c r="AC46" s="14"/>
      <c r="AD46" s="7" t="s">
        <v>251</v>
      </c>
      <c r="AF46" s="7" t="s">
        <v>340</v>
      </c>
      <c r="AG46" s="7" t="s">
        <v>341</v>
      </c>
      <c r="AH46" s="15"/>
      <c r="AI46" s="13">
        <v>20</v>
      </c>
      <c r="AL46" s="7" t="s">
        <v>340</v>
      </c>
      <c r="AM46" s="7" t="s">
        <v>340</v>
      </c>
      <c r="AN46" s="7" t="s">
        <v>340</v>
      </c>
      <c r="AR46" s="7" t="s">
        <v>343</v>
      </c>
      <c r="AW46" s="7" t="s">
        <v>344</v>
      </c>
      <c r="AY46" s="7" t="s">
        <v>251</v>
      </c>
      <c r="AZ46" s="7" t="s">
        <v>331</v>
      </c>
      <c r="BA46" s="7" t="s">
        <v>2777</v>
      </c>
      <c r="BC46" s="7" t="s">
        <v>334</v>
      </c>
      <c r="BF46" s="7" t="s">
        <v>334</v>
      </c>
      <c r="BH46" s="7" t="s">
        <v>334</v>
      </c>
      <c r="BI46" s="13"/>
      <c r="BJ46" s="7" t="s">
        <v>2864</v>
      </c>
      <c r="BL46" s="7" t="s">
        <v>536</v>
      </c>
      <c r="BM46" s="7" t="s">
        <v>536</v>
      </c>
      <c r="BN46" s="7" t="s">
        <v>536</v>
      </c>
      <c r="BO46" s="7" t="s">
        <v>536</v>
      </c>
      <c r="BS46" s="14">
        <v>250</v>
      </c>
      <c r="BT46" s="14">
        <v>250</v>
      </c>
      <c r="BU46" s="14">
        <v>90</v>
      </c>
      <c r="BV46" s="14">
        <v>250</v>
      </c>
      <c r="BW46" s="14"/>
      <c r="BX46" s="14"/>
      <c r="BY46" s="7" t="s">
        <v>251</v>
      </c>
      <c r="CA46" s="7" t="s">
        <v>336</v>
      </c>
      <c r="CC46" s="14"/>
      <c r="CD46" s="13"/>
      <c r="CG46" s="7" t="s">
        <v>336</v>
      </c>
      <c r="CH46" s="7" t="s">
        <v>336</v>
      </c>
      <c r="CI46" s="7" t="s">
        <v>336</v>
      </c>
      <c r="CM46" s="7" t="s">
        <v>343</v>
      </c>
      <c r="CR46" s="7" t="s">
        <v>344</v>
      </c>
    </row>
    <row r="47" spans="1:97" ht="63.75" x14ac:dyDescent="0.2">
      <c r="A47" s="6" t="s">
        <v>64</v>
      </c>
      <c r="B47" s="7" t="s">
        <v>251</v>
      </c>
      <c r="C47" s="7" t="s">
        <v>331</v>
      </c>
      <c r="D47" s="7" t="s">
        <v>2777</v>
      </c>
      <c r="F47" s="7" t="s">
        <v>334</v>
      </c>
      <c r="I47" s="7" t="s">
        <v>334</v>
      </c>
      <c r="K47" s="7" t="s">
        <v>2890</v>
      </c>
      <c r="M47" s="7" t="s">
        <v>542</v>
      </c>
      <c r="N47" s="13"/>
      <c r="O47" s="13">
        <v>50</v>
      </c>
      <c r="P47" s="7" t="s">
        <v>334</v>
      </c>
      <c r="Q47" s="13"/>
      <c r="R47" s="7" t="s">
        <v>534</v>
      </c>
      <c r="T47" s="7" t="s">
        <v>251</v>
      </c>
      <c r="U47" s="13"/>
      <c r="V47" s="7" t="s">
        <v>2859</v>
      </c>
      <c r="X47" s="14">
        <v>2000</v>
      </c>
      <c r="Y47" s="14">
        <v>2000</v>
      </c>
      <c r="Z47" s="14"/>
      <c r="AA47" s="14">
        <v>2000</v>
      </c>
      <c r="AB47" s="14">
        <v>1500</v>
      </c>
      <c r="AC47" s="14"/>
      <c r="AD47" s="7" t="s">
        <v>251</v>
      </c>
      <c r="AF47" s="7" t="s">
        <v>340</v>
      </c>
      <c r="AG47" s="7" t="s">
        <v>341</v>
      </c>
      <c r="AH47" s="15"/>
      <c r="AI47" s="13">
        <v>15</v>
      </c>
      <c r="AL47" s="7" t="s">
        <v>340</v>
      </c>
      <c r="AM47" s="7" t="s">
        <v>340</v>
      </c>
      <c r="AN47" s="7" t="s">
        <v>340</v>
      </c>
      <c r="AQ47" s="7" t="s">
        <v>623</v>
      </c>
      <c r="AR47" s="7" t="s">
        <v>337</v>
      </c>
      <c r="AT47" s="7" t="s">
        <v>556</v>
      </c>
      <c r="AW47" s="7" t="s">
        <v>338</v>
      </c>
      <c r="AY47" s="7" t="s">
        <v>251</v>
      </c>
      <c r="AZ47" s="7" t="s">
        <v>331</v>
      </c>
      <c r="BA47" s="7" t="s">
        <v>2777</v>
      </c>
      <c r="BC47" s="7" t="s">
        <v>334</v>
      </c>
      <c r="BF47" s="7" t="s">
        <v>334</v>
      </c>
      <c r="BH47" s="7" t="s">
        <v>251</v>
      </c>
      <c r="BI47" s="13">
        <v>20</v>
      </c>
      <c r="BJ47" s="7" t="s">
        <v>2864</v>
      </c>
      <c r="BL47" s="7" t="s">
        <v>553</v>
      </c>
      <c r="BM47" s="7" t="s">
        <v>553</v>
      </c>
      <c r="BN47" s="7" t="s">
        <v>536</v>
      </c>
      <c r="BO47" s="7" t="s">
        <v>553</v>
      </c>
      <c r="BS47" s="14">
        <v>250</v>
      </c>
      <c r="BT47" s="14">
        <v>250</v>
      </c>
      <c r="BU47" s="14"/>
      <c r="BV47" s="14">
        <v>250</v>
      </c>
      <c r="BW47" s="14"/>
      <c r="BX47" s="14"/>
      <c r="BY47" s="7" t="s">
        <v>251</v>
      </c>
      <c r="CA47" s="7" t="s">
        <v>340</v>
      </c>
      <c r="CB47" s="7" t="s">
        <v>341</v>
      </c>
      <c r="CD47" s="13">
        <v>15</v>
      </c>
      <c r="CG47" s="7" t="s">
        <v>340</v>
      </c>
      <c r="CH47" s="7" t="s">
        <v>340</v>
      </c>
      <c r="CI47" s="7" t="s">
        <v>340</v>
      </c>
      <c r="CL47" s="7" t="s">
        <v>623</v>
      </c>
      <c r="CM47" s="7" t="s">
        <v>337</v>
      </c>
      <c r="CO47" s="7" t="s">
        <v>535</v>
      </c>
      <c r="CR47" s="7" t="s">
        <v>338</v>
      </c>
    </row>
    <row r="48" spans="1:97" ht="76.5" x14ac:dyDescent="0.2">
      <c r="A48" s="6" t="s">
        <v>38</v>
      </c>
      <c r="B48" s="7" t="s">
        <v>251</v>
      </c>
      <c r="C48" s="7" t="s">
        <v>331</v>
      </c>
      <c r="D48" s="7" t="s">
        <v>2777</v>
      </c>
      <c r="F48" s="7" t="s">
        <v>334</v>
      </c>
      <c r="I48" s="7" t="s">
        <v>251</v>
      </c>
      <c r="J48" s="7" t="s">
        <v>584</v>
      </c>
      <c r="K48" s="7" t="s">
        <v>2879</v>
      </c>
      <c r="M48" s="7" t="s">
        <v>539</v>
      </c>
      <c r="N48" s="13">
        <v>20</v>
      </c>
      <c r="O48" s="13">
        <v>20</v>
      </c>
      <c r="P48" s="7" t="s">
        <v>251</v>
      </c>
      <c r="Q48" s="13">
        <v>50</v>
      </c>
      <c r="U48" s="13"/>
      <c r="V48" s="7" t="s">
        <v>2858</v>
      </c>
      <c r="X48" s="14"/>
      <c r="Y48" s="14">
        <v>1000</v>
      </c>
      <c r="Z48" s="14">
        <v>1000</v>
      </c>
      <c r="AA48" s="14">
        <v>1500</v>
      </c>
      <c r="AB48" s="14"/>
      <c r="AC48" s="14"/>
      <c r="AD48" s="7" t="s">
        <v>251</v>
      </c>
      <c r="AF48" s="7" t="s">
        <v>340</v>
      </c>
      <c r="AG48" s="7" t="s">
        <v>396</v>
      </c>
      <c r="AH48" s="15">
        <v>37.5</v>
      </c>
      <c r="AI48" s="13"/>
      <c r="AL48" s="7" t="s">
        <v>340</v>
      </c>
      <c r="AM48" s="7" t="s">
        <v>340</v>
      </c>
      <c r="AN48" s="7" t="s">
        <v>340</v>
      </c>
      <c r="AQ48" s="7" t="s">
        <v>585</v>
      </c>
      <c r="AR48" s="7" t="s">
        <v>343</v>
      </c>
      <c r="AW48" s="7" t="s">
        <v>130</v>
      </c>
      <c r="AX48" s="7" t="s">
        <v>398</v>
      </c>
      <c r="AY48" s="7" t="s">
        <v>251</v>
      </c>
      <c r="AZ48" s="7" t="s">
        <v>331</v>
      </c>
      <c r="BA48" s="7" t="s">
        <v>2777</v>
      </c>
      <c r="BC48" s="7" t="s">
        <v>334</v>
      </c>
      <c r="BF48" s="7" t="s">
        <v>251</v>
      </c>
      <c r="BG48" s="7" t="s">
        <v>586</v>
      </c>
      <c r="BH48" s="7" t="s">
        <v>334</v>
      </c>
      <c r="BI48" s="13"/>
      <c r="BJ48" s="7" t="s">
        <v>2864</v>
      </c>
      <c r="BL48" s="7" t="s">
        <v>536</v>
      </c>
      <c r="BM48" s="7" t="s">
        <v>536</v>
      </c>
      <c r="BN48" s="7" t="s">
        <v>536</v>
      </c>
      <c r="BO48" s="7" t="s">
        <v>536</v>
      </c>
      <c r="BS48" s="14">
        <v>400</v>
      </c>
      <c r="BT48" s="14">
        <v>400</v>
      </c>
      <c r="BU48" s="14"/>
      <c r="BV48" s="14">
        <v>400</v>
      </c>
      <c r="BW48" s="14"/>
      <c r="BX48" s="14"/>
      <c r="BY48" s="7" t="s">
        <v>251</v>
      </c>
      <c r="CA48" s="7" t="s">
        <v>340</v>
      </c>
      <c r="CB48" s="7" t="s">
        <v>396</v>
      </c>
      <c r="CC48" s="14">
        <v>13</v>
      </c>
      <c r="CD48" s="13"/>
      <c r="CG48" s="7" t="s">
        <v>340</v>
      </c>
      <c r="CH48" s="7" t="s">
        <v>340</v>
      </c>
      <c r="CI48" s="7" t="s">
        <v>340</v>
      </c>
      <c r="CL48" s="7" t="s">
        <v>585</v>
      </c>
      <c r="CM48" s="7" t="s">
        <v>343</v>
      </c>
      <c r="CR48" s="7" t="s">
        <v>130</v>
      </c>
      <c r="CS48" s="7" t="s">
        <v>398</v>
      </c>
    </row>
    <row r="49" spans="1:97" ht="76.5" x14ac:dyDescent="0.2">
      <c r="A49" s="6" t="s">
        <v>41</v>
      </c>
      <c r="B49" s="7" t="s">
        <v>251</v>
      </c>
      <c r="C49" s="7" t="s">
        <v>331</v>
      </c>
      <c r="D49" s="7" t="s">
        <v>2777</v>
      </c>
      <c r="F49" s="7" t="s">
        <v>334</v>
      </c>
      <c r="I49" s="7" t="s">
        <v>334</v>
      </c>
      <c r="K49" s="7" t="s">
        <v>2868</v>
      </c>
      <c r="M49" s="7" t="s">
        <v>539</v>
      </c>
      <c r="N49" s="13">
        <v>10</v>
      </c>
      <c r="O49" s="13">
        <v>50</v>
      </c>
      <c r="P49" s="7" t="s">
        <v>251</v>
      </c>
      <c r="Q49" s="13">
        <v>50</v>
      </c>
      <c r="R49" s="7" t="s">
        <v>534</v>
      </c>
      <c r="T49" s="7" t="s">
        <v>251</v>
      </c>
      <c r="U49" s="13">
        <v>50</v>
      </c>
      <c r="V49" s="7" t="s">
        <v>2856</v>
      </c>
      <c r="X49" s="14">
        <v>1500</v>
      </c>
      <c r="Y49" s="14"/>
      <c r="Z49" s="14"/>
      <c r="AA49" s="14"/>
      <c r="AB49" s="14">
        <v>1500</v>
      </c>
      <c r="AC49" s="14"/>
      <c r="AD49" s="7" t="s">
        <v>251</v>
      </c>
      <c r="AF49" s="7" t="s">
        <v>336</v>
      </c>
      <c r="AH49" s="15"/>
      <c r="AI49" s="13"/>
      <c r="AL49" s="7" t="s">
        <v>340</v>
      </c>
      <c r="AM49" s="7" t="s">
        <v>340</v>
      </c>
      <c r="AN49" s="7" t="s">
        <v>340</v>
      </c>
      <c r="AQ49" s="7" t="s">
        <v>588</v>
      </c>
      <c r="AR49" s="7" t="s">
        <v>337</v>
      </c>
      <c r="AT49" s="7" t="s">
        <v>535</v>
      </c>
      <c r="AW49" s="7" t="s">
        <v>338</v>
      </c>
      <c r="AY49" s="7" t="s">
        <v>251</v>
      </c>
      <c r="AZ49" s="7" t="s">
        <v>331</v>
      </c>
      <c r="BA49" s="7" t="s">
        <v>2777</v>
      </c>
      <c r="BC49" s="7" t="s">
        <v>334</v>
      </c>
      <c r="BF49" s="7" t="s">
        <v>334</v>
      </c>
      <c r="BH49" s="7" t="s">
        <v>334</v>
      </c>
      <c r="BI49" s="13"/>
      <c r="BJ49" s="7" t="s">
        <v>2864</v>
      </c>
      <c r="BL49" s="7" t="s">
        <v>536</v>
      </c>
      <c r="BM49" s="7" t="s">
        <v>536</v>
      </c>
      <c r="BN49" s="7" t="s">
        <v>536</v>
      </c>
      <c r="BO49" s="7" t="s">
        <v>536</v>
      </c>
      <c r="BS49" s="14">
        <v>200</v>
      </c>
      <c r="BT49" s="14">
        <v>200</v>
      </c>
      <c r="BU49" s="14">
        <v>200</v>
      </c>
      <c r="BV49" s="14">
        <v>200</v>
      </c>
      <c r="BW49" s="14"/>
      <c r="BX49" s="14"/>
      <c r="BY49" s="7" t="s">
        <v>251</v>
      </c>
      <c r="CA49" s="7" t="s">
        <v>336</v>
      </c>
      <c r="CC49" s="14"/>
      <c r="CD49" s="13"/>
      <c r="CG49" s="7" t="s">
        <v>340</v>
      </c>
      <c r="CH49" s="7" t="s">
        <v>340</v>
      </c>
      <c r="CI49" s="7" t="s">
        <v>340</v>
      </c>
      <c r="CL49" s="7" t="s">
        <v>589</v>
      </c>
      <c r="CM49" s="7" t="s">
        <v>337</v>
      </c>
      <c r="CO49" s="7" t="s">
        <v>535</v>
      </c>
      <c r="CR49" s="7" t="s">
        <v>338</v>
      </c>
    </row>
    <row r="50" spans="1:97" ht="76.5" x14ac:dyDescent="0.2">
      <c r="A50" s="6" t="s">
        <v>29</v>
      </c>
      <c r="B50" s="7" t="s">
        <v>251</v>
      </c>
      <c r="C50" s="7" t="s">
        <v>331</v>
      </c>
      <c r="D50" s="7" t="s">
        <v>2777</v>
      </c>
      <c r="F50" s="7" t="s">
        <v>371</v>
      </c>
      <c r="H50" s="7" t="s">
        <v>567</v>
      </c>
      <c r="I50" s="7" t="s">
        <v>334</v>
      </c>
      <c r="K50" s="7" t="s">
        <v>2868</v>
      </c>
      <c r="M50" s="7" t="s">
        <v>542</v>
      </c>
      <c r="N50" s="13"/>
      <c r="O50" s="13">
        <v>10</v>
      </c>
      <c r="P50" s="7" t="s">
        <v>251</v>
      </c>
      <c r="Q50" s="13">
        <v>50</v>
      </c>
      <c r="R50" s="7" t="s">
        <v>534</v>
      </c>
      <c r="T50" s="7" t="s">
        <v>251</v>
      </c>
      <c r="U50" s="13">
        <v>50</v>
      </c>
      <c r="V50" s="7" t="s">
        <v>2858</v>
      </c>
      <c r="X50" s="14"/>
      <c r="Y50" s="14">
        <v>2000</v>
      </c>
      <c r="Z50" s="14">
        <v>2000</v>
      </c>
      <c r="AA50" s="14">
        <v>2000</v>
      </c>
      <c r="AB50" s="14"/>
      <c r="AC50" s="14"/>
      <c r="AD50" s="7" t="s">
        <v>251</v>
      </c>
      <c r="AF50" s="7" t="s">
        <v>336</v>
      </c>
      <c r="AH50" s="15"/>
      <c r="AI50" s="13"/>
      <c r="AL50" s="7" t="s">
        <v>340</v>
      </c>
      <c r="AM50" s="7" t="s">
        <v>340</v>
      </c>
      <c r="AN50" s="7" t="s">
        <v>340</v>
      </c>
      <c r="AQ50" s="10">
        <v>0.5</v>
      </c>
      <c r="AR50" s="7" t="s">
        <v>337</v>
      </c>
      <c r="AT50" s="7" t="s">
        <v>535</v>
      </c>
      <c r="AW50" s="7" t="s">
        <v>338</v>
      </c>
      <c r="AY50" s="7" t="s">
        <v>251</v>
      </c>
      <c r="AZ50" s="7" t="s">
        <v>331</v>
      </c>
      <c r="BA50" s="7" t="s">
        <v>2777</v>
      </c>
      <c r="BC50" s="7" t="s">
        <v>371</v>
      </c>
      <c r="BE50" s="7" t="s">
        <v>568</v>
      </c>
      <c r="BF50" s="7" t="s">
        <v>334</v>
      </c>
      <c r="BH50" s="7" t="s">
        <v>334</v>
      </c>
      <c r="BI50" s="13"/>
      <c r="BJ50" s="7" t="s">
        <v>2864</v>
      </c>
      <c r="BL50" s="7" t="s">
        <v>553</v>
      </c>
      <c r="BM50" s="7" t="s">
        <v>553</v>
      </c>
      <c r="BN50" s="7" t="s">
        <v>553</v>
      </c>
      <c r="BO50" s="7" t="s">
        <v>553</v>
      </c>
      <c r="BS50" s="14">
        <v>300</v>
      </c>
      <c r="BT50" s="14">
        <v>300</v>
      </c>
      <c r="BU50" s="14">
        <v>125</v>
      </c>
      <c r="BV50" s="14">
        <v>300</v>
      </c>
      <c r="BW50" s="14"/>
      <c r="BX50" s="14"/>
      <c r="BY50" s="7" t="s">
        <v>251</v>
      </c>
      <c r="CA50" s="7" t="s">
        <v>336</v>
      </c>
      <c r="CC50" s="14"/>
      <c r="CD50" s="13"/>
      <c r="CG50" s="7" t="s">
        <v>340</v>
      </c>
      <c r="CH50" s="7" t="s">
        <v>340</v>
      </c>
      <c r="CI50" s="7" t="s">
        <v>340</v>
      </c>
      <c r="CL50" s="7" t="s">
        <v>569</v>
      </c>
      <c r="CM50" s="7" t="s">
        <v>337</v>
      </c>
      <c r="CO50" s="7" t="s">
        <v>535</v>
      </c>
      <c r="CR50" s="7" t="s">
        <v>338</v>
      </c>
    </row>
    <row r="51" spans="1:97" ht="38.25" x14ac:dyDescent="0.2">
      <c r="A51" s="6" t="s">
        <v>17</v>
      </c>
      <c r="B51" s="7" t="s">
        <v>251</v>
      </c>
      <c r="C51" s="7" t="s">
        <v>331</v>
      </c>
      <c r="D51" s="7" t="s">
        <v>2778</v>
      </c>
      <c r="F51" s="7" t="s">
        <v>371</v>
      </c>
      <c r="H51" s="7" t="s">
        <v>547</v>
      </c>
      <c r="I51" s="7" t="s">
        <v>251</v>
      </c>
      <c r="J51" s="7" t="s">
        <v>548</v>
      </c>
      <c r="K51" s="7" t="s">
        <v>549</v>
      </c>
      <c r="M51" s="7" t="s">
        <v>542</v>
      </c>
      <c r="N51" s="13"/>
      <c r="O51" s="13"/>
      <c r="P51" s="7" t="s">
        <v>251</v>
      </c>
      <c r="Q51" s="13">
        <v>50</v>
      </c>
      <c r="U51" s="13"/>
      <c r="V51" s="7" t="s">
        <v>550</v>
      </c>
      <c r="X51" s="14"/>
      <c r="Y51" s="14">
        <v>1000</v>
      </c>
      <c r="Z51" s="14"/>
      <c r="AA51" s="14"/>
      <c r="AB51" s="14"/>
      <c r="AC51" s="14"/>
      <c r="AD51" s="7" t="s">
        <v>251</v>
      </c>
      <c r="AF51" s="7" t="s">
        <v>340</v>
      </c>
      <c r="AG51" s="7" t="s">
        <v>341</v>
      </c>
      <c r="AH51" s="15"/>
      <c r="AI51" s="13"/>
      <c r="AL51" s="7" t="s">
        <v>340</v>
      </c>
      <c r="AN51" s="7" t="s">
        <v>340</v>
      </c>
      <c r="AR51" s="7" t="s">
        <v>343</v>
      </c>
      <c r="AW51" s="7" t="s">
        <v>355</v>
      </c>
      <c r="AY51" s="7" t="s">
        <v>251</v>
      </c>
      <c r="AZ51" s="7" t="s">
        <v>331</v>
      </c>
      <c r="BA51" s="7" t="s">
        <v>2778</v>
      </c>
      <c r="BC51" s="7" t="s">
        <v>371</v>
      </c>
      <c r="BE51" s="7" t="s">
        <v>551</v>
      </c>
      <c r="BF51" s="7" t="s">
        <v>251</v>
      </c>
      <c r="BG51" s="7" t="s">
        <v>552</v>
      </c>
      <c r="BH51" s="7" t="s">
        <v>251</v>
      </c>
      <c r="BI51" s="13"/>
      <c r="BJ51" s="7" t="s">
        <v>2865</v>
      </c>
      <c r="BL51" s="7" t="s">
        <v>553</v>
      </c>
      <c r="BM51" s="7" t="s">
        <v>553</v>
      </c>
      <c r="BN51" s="7" t="s">
        <v>537</v>
      </c>
      <c r="BS51" s="14">
        <v>250</v>
      </c>
      <c r="BT51" s="14">
        <v>250</v>
      </c>
      <c r="BU51" s="14"/>
      <c r="BV51" s="14"/>
      <c r="BW51" s="14"/>
      <c r="BX51" s="14"/>
      <c r="BY51" s="7" t="s">
        <v>251</v>
      </c>
      <c r="CA51" s="7" t="s">
        <v>336</v>
      </c>
      <c r="CC51" s="14"/>
      <c r="CD51" s="13"/>
      <c r="CG51" s="7" t="s">
        <v>340</v>
      </c>
      <c r="CI51" s="7" t="s">
        <v>340</v>
      </c>
      <c r="CM51" s="7" t="s">
        <v>343</v>
      </c>
      <c r="CR51" s="7" t="s">
        <v>355</v>
      </c>
    </row>
    <row r="52" spans="1:97" ht="76.5" x14ac:dyDescent="0.2">
      <c r="A52" s="6" t="s">
        <v>22</v>
      </c>
      <c r="B52" s="7" t="s">
        <v>251</v>
      </c>
      <c r="C52" s="7" t="s">
        <v>331</v>
      </c>
      <c r="D52" s="7" t="s">
        <v>2777</v>
      </c>
      <c r="F52" s="7" t="s">
        <v>334</v>
      </c>
      <c r="I52" s="7" t="s">
        <v>334</v>
      </c>
      <c r="K52" s="7" t="s">
        <v>2868</v>
      </c>
      <c r="M52" s="7" t="s">
        <v>539</v>
      </c>
      <c r="N52" s="13">
        <v>100</v>
      </c>
      <c r="O52" s="13">
        <v>100</v>
      </c>
      <c r="P52" s="7" t="s">
        <v>251</v>
      </c>
      <c r="Q52" s="13">
        <v>50</v>
      </c>
      <c r="R52" s="7" t="s">
        <v>540</v>
      </c>
      <c r="T52" s="7" t="s">
        <v>251</v>
      </c>
      <c r="U52" s="13">
        <v>50</v>
      </c>
      <c r="V52" s="7" t="s">
        <v>2855</v>
      </c>
      <c r="X52" s="14"/>
      <c r="Y52" s="14"/>
      <c r="Z52" s="14"/>
      <c r="AA52" s="14">
        <v>2500</v>
      </c>
      <c r="AB52" s="14">
        <v>2500</v>
      </c>
      <c r="AC52" s="14"/>
      <c r="AD52" s="7" t="s">
        <v>251</v>
      </c>
      <c r="AF52" s="7" t="s">
        <v>336</v>
      </c>
      <c r="AH52" s="15"/>
      <c r="AI52" s="13"/>
      <c r="AL52" s="7" t="s">
        <v>336</v>
      </c>
      <c r="AM52" s="7" t="s">
        <v>336</v>
      </c>
      <c r="AN52" s="7" t="s">
        <v>336</v>
      </c>
      <c r="AR52" s="7" t="s">
        <v>337</v>
      </c>
      <c r="AT52" s="7" t="s">
        <v>535</v>
      </c>
      <c r="AW52" s="7" t="s">
        <v>338</v>
      </c>
      <c r="AY52" s="7" t="s">
        <v>251</v>
      </c>
      <c r="AZ52" s="7" t="s">
        <v>331</v>
      </c>
      <c r="BA52" s="7" t="s">
        <v>2777</v>
      </c>
      <c r="BC52" s="7" t="s">
        <v>334</v>
      </c>
      <c r="BF52" s="7" t="s">
        <v>334</v>
      </c>
      <c r="BH52" s="7" t="s">
        <v>334</v>
      </c>
      <c r="BI52" s="13"/>
      <c r="BJ52" s="7" t="s">
        <v>2864</v>
      </c>
      <c r="BL52" s="7" t="s">
        <v>536</v>
      </c>
      <c r="BM52" s="7" t="s">
        <v>536</v>
      </c>
      <c r="BN52" s="7" t="s">
        <v>536</v>
      </c>
      <c r="BO52" s="7" t="s">
        <v>536</v>
      </c>
      <c r="BS52" s="14">
        <v>200</v>
      </c>
      <c r="BT52" s="14">
        <v>200</v>
      </c>
      <c r="BU52" s="14"/>
      <c r="BV52" s="14">
        <v>200</v>
      </c>
      <c r="BW52" s="14"/>
      <c r="BX52" s="14"/>
      <c r="BY52" s="7" t="s">
        <v>251</v>
      </c>
      <c r="CA52" s="7" t="s">
        <v>336</v>
      </c>
      <c r="CC52" s="14"/>
      <c r="CD52" s="13"/>
      <c r="CG52" s="7" t="s">
        <v>336</v>
      </c>
      <c r="CH52" s="7" t="s">
        <v>336</v>
      </c>
      <c r="CI52" s="7" t="s">
        <v>336</v>
      </c>
      <c r="CM52" s="7" t="s">
        <v>337</v>
      </c>
      <c r="CO52" s="7" t="s">
        <v>535</v>
      </c>
      <c r="CR52" s="7" t="s">
        <v>338</v>
      </c>
    </row>
    <row r="53" spans="1:97" ht="63.75" x14ac:dyDescent="0.2">
      <c r="A53" s="6" t="s">
        <v>53</v>
      </c>
      <c r="B53" s="7" t="s">
        <v>251</v>
      </c>
      <c r="C53" s="7" t="s">
        <v>331</v>
      </c>
      <c r="D53" s="7" t="s">
        <v>2777</v>
      </c>
      <c r="F53" s="7" t="s">
        <v>334</v>
      </c>
      <c r="I53" s="7" t="s">
        <v>334</v>
      </c>
      <c r="K53" s="7" t="s">
        <v>2869</v>
      </c>
      <c r="M53" s="7" t="s">
        <v>334</v>
      </c>
      <c r="N53" s="13"/>
      <c r="O53" s="13"/>
      <c r="P53" s="7" t="s">
        <v>251</v>
      </c>
      <c r="Q53" s="13">
        <v>50</v>
      </c>
      <c r="R53" s="7" t="s">
        <v>534</v>
      </c>
      <c r="T53" s="7" t="s">
        <v>251</v>
      </c>
      <c r="U53" s="13">
        <v>50</v>
      </c>
      <c r="V53" s="7" t="s">
        <v>2856</v>
      </c>
      <c r="X53" s="14">
        <v>2000</v>
      </c>
      <c r="Y53" s="14"/>
      <c r="Z53" s="14"/>
      <c r="AA53" s="14"/>
      <c r="AB53" s="14">
        <v>2000</v>
      </c>
      <c r="AC53" s="14"/>
      <c r="AD53" s="7" t="s">
        <v>251</v>
      </c>
      <c r="AF53" s="7" t="s">
        <v>336</v>
      </c>
      <c r="AH53" s="15"/>
      <c r="AI53" s="13"/>
      <c r="AL53" s="7" t="s">
        <v>336</v>
      </c>
      <c r="AM53" s="7" t="s">
        <v>336</v>
      </c>
      <c r="AN53" s="7" t="s">
        <v>336</v>
      </c>
      <c r="AR53" s="7" t="s">
        <v>337</v>
      </c>
      <c r="AT53" s="7" t="s">
        <v>556</v>
      </c>
      <c r="AW53" s="7" t="s">
        <v>338</v>
      </c>
      <c r="AY53" s="7" t="s">
        <v>251</v>
      </c>
      <c r="AZ53" s="7" t="s">
        <v>331</v>
      </c>
      <c r="BA53" s="7" t="s">
        <v>2777</v>
      </c>
      <c r="BC53" s="7" t="s">
        <v>334</v>
      </c>
      <c r="BF53" s="7" t="s">
        <v>334</v>
      </c>
      <c r="BH53" s="7" t="s">
        <v>334</v>
      </c>
      <c r="BI53" s="13"/>
      <c r="BJ53" s="7" t="s">
        <v>2864</v>
      </c>
      <c r="BL53" s="7" t="s">
        <v>536</v>
      </c>
      <c r="BM53" s="7" t="s">
        <v>536</v>
      </c>
      <c r="BN53" s="7" t="s">
        <v>536</v>
      </c>
      <c r="BO53" s="7" t="s">
        <v>536</v>
      </c>
      <c r="BS53" s="14">
        <v>250</v>
      </c>
      <c r="BT53" s="14">
        <v>250</v>
      </c>
      <c r="BU53" s="14"/>
      <c r="BV53" s="14">
        <v>250</v>
      </c>
      <c r="BW53" s="14"/>
      <c r="BX53" s="14"/>
      <c r="BY53" s="7" t="s">
        <v>251</v>
      </c>
      <c r="CA53" s="7" t="s">
        <v>336</v>
      </c>
      <c r="CC53" s="14"/>
      <c r="CD53" s="13"/>
      <c r="CG53" s="7" t="s">
        <v>336</v>
      </c>
      <c r="CH53" s="7" t="s">
        <v>336</v>
      </c>
      <c r="CI53" s="7" t="s">
        <v>336</v>
      </c>
      <c r="CM53" s="7" t="s">
        <v>337</v>
      </c>
      <c r="CO53" s="7" t="s">
        <v>535</v>
      </c>
      <c r="CR53" s="7" t="s">
        <v>338</v>
      </c>
    </row>
    <row r="54" spans="1:97" ht="63.75" x14ac:dyDescent="0.2">
      <c r="A54" s="6" t="s">
        <v>43</v>
      </c>
      <c r="B54" s="7" t="s">
        <v>251</v>
      </c>
      <c r="C54" s="7" t="s">
        <v>331</v>
      </c>
      <c r="D54" s="7" t="s">
        <v>2777</v>
      </c>
      <c r="F54" s="7" t="s">
        <v>334</v>
      </c>
      <c r="I54" s="7" t="s">
        <v>334</v>
      </c>
      <c r="K54" s="7" t="s">
        <v>2869</v>
      </c>
      <c r="M54" s="7" t="s">
        <v>539</v>
      </c>
      <c r="N54" s="13">
        <v>10</v>
      </c>
      <c r="O54" s="13">
        <v>10</v>
      </c>
      <c r="P54" s="7" t="s">
        <v>251</v>
      </c>
      <c r="Q54" s="13">
        <v>50</v>
      </c>
      <c r="R54" s="7" t="s">
        <v>540</v>
      </c>
      <c r="T54" s="7" t="s">
        <v>251</v>
      </c>
      <c r="U54" s="13">
        <v>50</v>
      </c>
      <c r="V54" s="7" t="s">
        <v>544</v>
      </c>
      <c r="X54" s="14">
        <v>2000</v>
      </c>
      <c r="Y54" s="14"/>
      <c r="Z54" s="14"/>
      <c r="AA54" s="14"/>
      <c r="AB54" s="14"/>
      <c r="AC54" s="14"/>
      <c r="AD54" s="7" t="s">
        <v>251</v>
      </c>
      <c r="AF54" s="7" t="s">
        <v>336</v>
      </c>
      <c r="AH54" s="15"/>
      <c r="AI54" s="13"/>
      <c r="AL54" s="7" t="s">
        <v>336</v>
      </c>
      <c r="AM54" s="7" t="s">
        <v>336</v>
      </c>
      <c r="AN54" s="7" t="s">
        <v>336</v>
      </c>
      <c r="AR54" s="7" t="s">
        <v>337</v>
      </c>
      <c r="AT54" s="7" t="s">
        <v>535</v>
      </c>
      <c r="AW54" s="7" t="s">
        <v>350</v>
      </c>
      <c r="AY54" s="7" t="s">
        <v>251</v>
      </c>
      <c r="AZ54" s="7" t="s">
        <v>331</v>
      </c>
      <c r="BA54" s="7" t="s">
        <v>2777</v>
      </c>
      <c r="BC54" s="7" t="s">
        <v>334</v>
      </c>
      <c r="BF54" s="7" t="s">
        <v>334</v>
      </c>
      <c r="BH54" s="7" t="s">
        <v>334</v>
      </c>
      <c r="BI54" s="13"/>
      <c r="BJ54" s="7" t="s">
        <v>2864</v>
      </c>
      <c r="BL54" s="7" t="s">
        <v>536</v>
      </c>
      <c r="BM54" s="7" t="s">
        <v>536</v>
      </c>
      <c r="BN54" s="7" t="s">
        <v>537</v>
      </c>
      <c r="BO54" s="7" t="s">
        <v>536</v>
      </c>
      <c r="BS54" s="14">
        <v>300</v>
      </c>
      <c r="BT54" s="14">
        <v>300</v>
      </c>
      <c r="BU54" s="14"/>
      <c r="BV54" s="14">
        <v>300</v>
      </c>
      <c r="BW54" s="14"/>
      <c r="BX54" s="14"/>
      <c r="BY54" s="7" t="s">
        <v>251</v>
      </c>
      <c r="CA54" s="7" t="s">
        <v>336</v>
      </c>
      <c r="CC54" s="14"/>
      <c r="CD54" s="13"/>
      <c r="CG54" s="7" t="s">
        <v>336</v>
      </c>
      <c r="CH54" s="7" t="s">
        <v>336</v>
      </c>
      <c r="CI54" s="7" t="s">
        <v>336</v>
      </c>
      <c r="CM54" s="7" t="s">
        <v>337</v>
      </c>
      <c r="CO54" s="7" t="s">
        <v>535</v>
      </c>
      <c r="CR54" s="7" t="s">
        <v>350</v>
      </c>
    </row>
    <row r="55" spans="1:97" ht="63.75" x14ac:dyDescent="0.2">
      <c r="A55" s="6" t="s">
        <v>61</v>
      </c>
      <c r="B55" s="7" t="s">
        <v>251</v>
      </c>
      <c r="C55" s="7" t="s">
        <v>331</v>
      </c>
      <c r="D55" s="7" t="s">
        <v>2777</v>
      </c>
      <c r="F55" s="7" t="s">
        <v>334</v>
      </c>
      <c r="I55" s="7" t="s">
        <v>334</v>
      </c>
      <c r="K55" s="7" t="s">
        <v>2872</v>
      </c>
      <c r="M55" s="7" t="s">
        <v>334</v>
      </c>
      <c r="N55" s="13"/>
      <c r="O55" s="13"/>
      <c r="P55" s="7" t="s">
        <v>251</v>
      </c>
      <c r="Q55" s="13">
        <v>50</v>
      </c>
      <c r="R55" s="7" t="s">
        <v>534</v>
      </c>
      <c r="T55" s="7" t="s">
        <v>251</v>
      </c>
      <c r="U55" s="13">
        <v>50</v>
      </c>
      <c r="V55" s="7" t="s">
        <v>2875</v>
      </c>
      <c r="W55" s="7" t="s">
        <v>619</v>
      </c>
      <c r="X55" s="14"/>
      <c r="Y55" s="14"/>
      <c r="Z55" s="14"/>
      <c r="AA55" s="14"/>
      <c r="AB55" s="14">
        <v>1500</v>
      </c>
      <c r="AC55" s="14">
        <v>1500</v>
      </c>
      <c r="AD55" s="7" t="s">
        <v>251</v>
      </c>
      <c r="AF55" s="7" t="s">
        <v>336</v>
      </c>
      <c r="AH55" s="15"/>
      <c r="AI55" s="13"/>
      <c r="AL55" s="7" t="s">
        <v>336</v>
      </c>
      <c r="AM55" s="7" t="s">
        <v>336</v>
      </c>
      <c r="AN55" s="7" t="s">
        <v>336</v>
      </c>
      <c r="AR55" s="7" t="s">
        <v>337</v>
      </c>
      <c r="AT55" s="7" t="s">
        <v>535</v>
      </c>
      <c r="AW55" s="7" t="s">
        <v>338</v>
      </c>
      <c r="AY55" s="7" t="s">
        <v>251</v>
      </c>
      <c r="AZ55" s="7" t="s">
        <v>331</v>
      </c>
      <c r="BA55" s="7" t="s">
        <v>2777</v>
      </c>
      <c r="BC55" s="7" t="s">
        <v>334</v>
      </c>
      <c r="BF55" s="7" t="s">
        <v>334</v>
      </c>
      <c r="BH55" s="7" t="s">
        <v>334</v>
      </c>
      <c r="BI55" s="13"/>
      <c r="BJ55" s="7" t="s">
        <v>2864</v>
      </c>
      <c r="BL55" s="7" t="s">
        <v>536</v>
      </c>
      <c r="BM55" s="7" t="s">
        <v>536</v>
      </c>
      <c r="BN55" s="7" t="s">
        <v>536</v>
      </c>
      <c r="BO55" s="7" t="s">
        <v>536</v>
      </c>
      <c r="BS55" s="14">
        <v>200</v>
      </c>
      <c r="BT55" s="14">
        <v>200</v>
      </c>
      <c r="BU55" s="14">
        <v>200</v>
      </c>
      <c r="BV55" s="14">
        <v>200</v>
      </c>
      <c r="BW55" s="14"/>
      <c r="BX55" s="14"/>
      <c r="BY55" s="7" t="s">
        <v>251</v>
      </c>
      <c r="CA55" s="7" t="s">
        <v>336</v>
      </c>
      <c r="CD55" s="13"/>
      <c r="CG55" s="7" t="s">
        <v>336</v>
      </c>
      <c r="CH55" s="7" t="s">
        <v>336</v>
      </c>
      <c r="CI55" s="7" t="s">
        <v>336</v>
      </c>
      <c r="CM55" s="7" t="s">
        <v>337</v>
      </c>
      <c r="CO55" s="7" t="s">
        <v>535</v>
      </c>
      <c r="CR55" s="7" t="s">
        <v>338</v>
      </c>
    </row>
    <row r="56" spans="1:97" ht="63.75" x14ac:dyDescent="0.2">
      <c r="A56" s="6" t="s">
        <v>72</v>
      </c>
      <c r="B56" s="7" t="s">
        <v>251</v>
      </c>
      <c r="C56" s="7" t="s">
        <v>331</v>
      </c>
      <c r="D56" s="7" t="s">
        <v>2777</v>
      </c>
      <c r="F56" s="7" t="s">
        <v>334</v>
      </c>
      <c r="I56" s="7" t="s">
        <v>334</v>
      </c>
      <c r="K56" s="7" t="s">
        <v>2869</v>
      </c>
      <c r="M56" s="7" t="s">
        <v>539</v>
      </c>
      <c r="N56" s="13">
        <v>10</v>
      </c>
      <c r="O56" s="13">
        <v>10</v>
      </c>
      <c r="P56" s="7" t="s">
        <v>251</v>
      </c>
      <c r="Q56" s="13">
        <v>50</v>
      </c>
      <c r="R56" s="7" t="s">
        <v>534</v>
      </c>
      <c r="T56" s="7" t="s">
        <v>251</v>
      </c>
      <c r="U56" s="13">
        <v>50</v>
      </c>
      <c r="V56" s="7" t="s">
        <v>2859</v>
      </c>
      <c r="X56" s="14">
        <v>2000</v>
      </c>
      <c r="Y56" s="14">
        <v>2000</v>
      </c>
      <c r="Z56" s="14">
        <v>2000</v>
      </c>
      <c r="AA56" s="14">
        <v>2000</v>
      </c>
      <c r="AB56" s="14">
        <v>2000</v>
      </c>
      <c r="AC56" s="14"/>
      <c r="AD56" s="7" t="s">
        <v>251</v>
      </c>
      <c r="AF56" s="7" t="s">
        <v>336</v>
      </c>
      <c r="AH56" s="15"/>
      <c r="AI56" s="13"/>
      <c r="AL56" s="7" t="s">
        <v>336</v>
      </c>
      <c r="AM56" s="7" t="s">
        <v>336</v>
      </c>
      <c r="AR56" s="7" t="s">
        <v>337</v>
      </c>
      <c r="AT56" s="7" t="s">
        <v>535</v>
      </c>
      <c r="AW56" s="7" t="s">
        <v>350</v>
      </c>
      <c r="AY56" s="7" t="s">
        <v>251</v>
      </c>
      <c r="AZ56" s="7" t="s">
        <v>331</v>
      </c>
      <c r="BA56" s="7" t="s">
        <v>2777</v>
      </c>
      <c r="BC56" s="7" t="s">
        <v>334</v>
      </c>
      <c r="BF56" s="7" t="s">
        <v>334</v>
      </c>
      <c r="BH56" s="7" t="s">
        <v>334</v>
      </c>
      <c r="BJ56" s="7" t="s">
        <v>2864</v>
      </c>
      <c r="BL56" s="7" t="s">
        <v>536</v>
      </c>
      <c r="BM56" s="7" t="s">
        <v>536</v>
      </c>
      <c r="BN56" s="7" t="s">
        <v>536</v>
      </c>
      <c r="BO56" s="7" t="s">
        <v>536</v>
      </c>
      <c r="BS56" s="14">
        <v>200</v>
      </c>
      <c r="BT56" s="14">
        <v>200</v>
      </c>
      <c r="BU56" s="14">
        <v>200</v>
      </c>
      <c r="BV56" s="14">
        <v>200</v>
      </c>
      <c r="BW56" s="14"/>
      <c r="BX56" s="14"/>
      <c r="BY56" s="7" t="s">
        <v>251</v>
      </c>
      <c r="CA56" s="7" t="s">
        <v>336</v>
      </c>
      <c r="CG56" s="7" t="s">
        <v>336</v>
      </c>
      <c r="CH56" s="7" t="s">
        <v>336</v>
      </c>
      <c r="CI56" s="7" t="s">
        <v>336</v>
      </c>
      <c r="CM56" s="7" t="s">
        <v>337</v>
      </c>
      <c r="CO56" s="7" t="s">
        <v>620</v>
      </c>
      <c r="CQ56" s="7" t="s">
        <v>629</v>
      </c>
      <c r="CR56" s="7" t="s">
        <v>350</v>
      </c>
    </row>
    <row r="57" spans="1:97" ht="76.5" x14ac:dyDescent="0.2">
      <c r="A57" s="6" t="s">
        <v>16</v>
      </c>
      <c r="B57" s="7" t="s">
        <v>251</v>
      </c>
      <c r="C57" s="7" t="s">
        <v>331</v>
      </c>
      <c r="D57" s="7" t="s">
        <v>2777</v>
      </c>
      <c r="F57" s="7" t="s">
        <v>334</v>
      </c>
      <c r="I57" s="7" t="s">
        <v>334</v>
      </c>
      <c r="K57" s="7" t="s">
        <v>2868</v>
      </c>
      <c r="M57" s="7" t="s">
        <v>539</v>
      </c>
      <c r="N57" s="13">
        <v>10</v>
      </c>
      <c r="O57" s="13">
        <v>10</v>
      </c>
      <c r="P57" s="7" t="s">
        <v>251</v>
      </c>
      <c r="Q57" s="13">
        <v>50</v>
      </c>
      <c r="R57" s="7" t="s">
        <v>534</v>
      </c>
      <c r="T57" s="7" t="s">
        <v>251</v>
      </c>
      <c r="U57" s="13">
        <v>40</v>
      </c>
      <c r="V57" s="7" t="s">
        <v>2859</v>
      </c>
      <c r="X57" s="14">
        <v>2000</v>
      </c>
      <c r="Y57" s="14"/>
      <c r="Z57" s="14"/>
      <c r="AA57" s="14"/>
      <c r="AB57" s="14">
        <v>2000</v>
      </c>
      <c r="AC57" s="14"/>
      <c r="AD57" s="7" t="s">
        <v>251</v>
      </c>
      <c r="AF57" s="7" t="s">
        <v>336</v>
      </c>
      <c r="AH57" s="15"/>
      <c r="AI57" s="13"/>
      <c r="AL57" s="7" t="s">
        <v>336</v>
      </c>
      <c r="AM57" s="7" t="s">
        <v>336</v>
      </c>
      <c r="AN57" s="7" t="s">
        <v>336</v>
      </c>
      <c r="AR57" s="7" t="s">
        <v>343</v>
      </c>
      <c r="AW57" s="7" t="s">
        <v>350</v>
      </c>
      <c r="AY57" s="7" t="s">
        <v>251</v>
      </c>
      <c r="AZ57" s="7" t="s">
        <v>331</v>
      </c>
      <c r="BA57" s="7" t="s">
        <v>2777</v>
      </c>
      <c r="BC57" s="7" t="s">
        <v>334</v>
      </c>
      <c r="BF57" s="7" t="s">
        <v>334</v>
      </c>
      <c r="BH57" s="7" t="s">
        <v>334</v>
      </c>
      <c r="BI57" s="13"/>
      <c r="BJ57" s="7" t="s">
        <v>2864</v>
      </c>
      <c r="BL57" s="7" t="s">
        <v>536</v>
      </c>
      <c r="BN57" s="7" t="s">
        <v>536</v>
      </c>
      <c r="BO57" s="7" t="s">
        <v>536</v>
      </c>
      <c r="BR57" s="7" t="s">
        <v>546</v>
      </c>
      <c r="BS57" s="14">
        <v>300</v>
      </c>
      <c r="BT57" s="14">
        <v>200</v>
      </c>
      <c r="BU57" s="14">
        <v>100</v>
      </c>
      <c r="BV57" s="14"/>
      <c r="BW57" s="14"/>
      <c r="BX57" s="14"/>
      <c r="BY57" s="7" t="s">
        <v>251</v>
      </c>
      <c r="CA57" s="7" t="s">
        <v>336</v>
      </c>
      <c r="CC57" s="14"/>
      <c r="CD57" s="13"/>
      <c r="CG57" s="7" t="s">
        <v>336</v>
      </c>
      <c r="CH57" s="7" t="s">
        <v>336</v>
      </c>
      <c r="CI57" s="7" t="s">
        <v>336</v>
      </c>
      <c r="CM57" s="7" t="s">
        <v>343</v>
      </c>
      <c r="CR57" s="7" t="s">
        <v>350</v>
      </c>
    </row>
    <row r="58" spans="1:97" ht="63.75" x14ac:dyDescent="0.2">
      <c r="A58" s="6" t="s">
        <v>32</v>
      </c>
      <c r="B58" s="7" t="s">
        <v>251</v>
      </c>
      <c r="C58" s="7" t="s">
        <v>331</v>
      </c>
      <c r="D58" s="7" t="s">
        <v>2778</v>
      </c>
      <c r="F58" s="7" t="s">
        <v>334</v>
      </c>
      <c r="I58" s="7" t="s">
        <v>334</v>
      </c>
      <c r="K58" s="7" t="s">
        <v>2877</v>
      </c>
      <c r="M58" s="7" t="s">
        <v>334</v>
      </c>
      <c r="N58" s="13"/>
      <c r="O58" s="13"/>
      <c r="Q58" s="13"/>
      <c r="R58" s="7" t="s">
        <v>534</v>
      </c>
      <c r="U58" s="13"/>
      <c r="V58" s="7" t="s">
        <v>544</v>
      </c>
      <c r="X58" s="14">
        <v>2000</v>
      </c>
      <c r="Y58" s="14"/>
      <c r="Z58" s="14"/>
      <c r="AA58" s="14"/>
      <c r="AB58" s="14"/>
      <c r="AC58" s="14"/>
      <c r="AD58" s="7" t="s">
        <v>251</v>
      </c>
      <c r="AF58" s="7" t="s">
        <v>336</v>
      </c>
      <c r="AH58" s="15"/>
      <c r="AI58" s="13"/>
      <c r="AL58" s="7" t="s">
        <v>336</v>
      </c>
      <c r="AN58" s="7" t="s">
        <v>336</v>
      </c>
      <c r="AR58" s="7" t="s">
        <v>337</v>
      </c>
      <c r="AT58" s="7" t="s">
        <v>556</v>
      </c>
      <c r="AW58" s="7" t="s">
        <v>386</v>
      </c>
      <c r="AY58" s="7" t="s">
        <v>251</v>
      </c>
      <c r="AZ58" s="7" t="s">
        <v>331</v>
      </c>
      <c r="BA58" s="7" t="s">
        <v>2778</v>
      </c>
      <c r="BC58" s="7" t="s">
        <v>334</v>
      </c>
      <c r="BF58" s="7" t="s">
        <v>334</v>
      </c>
      <c r="BH58" s="7" t="s">
        <v>334</v>
      </c>
      <c r="BI58" s="13"/>
      <c r="BJ58" s="7" t="s">
        <v>2864</v>
      </c>
      <c r="BL58" s="7" t="s">
        <v>536</v>
      </c>
      <c r="BM58" s="7" t="s">
        <v>536</v>
      </c>
      <c r="BO58" s="7" t="s">
        <v>536</v>
      </c>
      <c r="BS58" s="14">
        <v>300</v>
      </c>
      <c r="BT58" s="14">
        <v>300</v>
      </c>
      <c r="BU58" s="14">
        <v>300</v>
      </c>
      <c r="BV58" s="14">
        <v>300</v>
      </c>
      <c r="BW58" s="14"/>
      <c r="BX58" s="14"/>
      <c r="BY58" s="7" t="s">
        <v>251</v>
      </c>
      <c r="CA58" s="7" t="s">
        <v>336</v>
      </c>
      <c r="CC58" s="14"/>
      <c r="CD58" s="13"/>
      <c r="CG58" s="7" t="s">
        <v>336</v>
      </c>
      <c r="CI58" s="7" t="s">
        <v>336</v>
      </c>
      <c r="CM58" s="7" t="s">
        <v>337</v>
      </c>
      <c r="CR58" s="7" t="s">
        <v>386</v>
      </c>
    </row>
    <row r="59" spans="1:97" ht="63.75" x14ac:dyDescent="0.2">
      <c r="A59" s="6" t="s">
        <v>60</v>
      </c>
      <c r="B59" s="7" t="s">
        <v>251</v>
      </c>
      <c r="C59" s="7" t="s">
        <v>331</v>
      </c>
      <c r="D59" s="7" t="s">
        <v>2777</v>
      </c>
      <c r="F59" s="7" t="s">
        <v>334</v>
      </c>
      <c r="I59" s="7" t="s">
        <v>334</v>
      </c>
      <c r="K59" s="7" t="s">
        <v>2889</v>
      </c>
      <c r="M59" s="7" t="s">
        <v>334</v>
      </c>
      <c r="N59" s="13"/>
      <c r="O59" s="13"/>
      <c r="P59" s="7" t="s">
        <v>251</v>
      </c>
      <c r="Q59" s="13">
        <v>50</v>
      </c>
      <c r="R59" s="7" t="s">
        <v>534</v>
      </c>
      <c r="T59" s="7" t="s">
        <v>251</v>
      </c>
      <c r="U59" s="13">
        <v>50</v>
      </c>
      <c r="V59" s="7" t="s">
        <v>2858</v>
      </c>
      <c r="X59" s="14"/>
      <c r="Y59" s="14">
        <v>2000</v>
      </c>
      <c r="Z59" s="14">
        <v>2000</v>
      </c>
      <c r="AA59" s="14">
        <v>2000</v>
      </c>
      <c r="AB59" s="14"/>
      <c r="AC59" s="14"/>
      <c r="AD59" s="7" t="s">
        <v>251</v>
      </c>
      <c r="AF59" s="7" t="s">
        <v>336</v>
      </c>
      <c r="AH59" s="15"/>
      <c r="AI59" s="13"/>
      <c r="AL59" s="7" t="s">
        <v>336</v>
      </c>
      <c r="AM59" s="7" t="s">
        <v>336</v>
      </c>
      <c r="AN59" s="7" t="s">
        <v>336</v>
      </c>
      <c r="AR59" s="7" t="s">
        <v>337</v>
      </c>
      <c r="AT59" s="7" t="s">
        <v>535</v>
      </c>
      <c r="AW59" s="7" t="s">
        <v>338</v>
      </c>
      <c r="AY59" s="7" t="s">
        <v>251</v>
      </c>
      <c r="AZ59" s="7" t="s">
        <v>331</v>
      </c>
      <c r="BA59" s="7" t="s">
        <v>2777</v>
      </c>
      <c r="BC59" s="7" t="s">
        <v>334</v>
      </c>
      <c r="BF59" s="7" t="s">
        <v>334</v>
      </c>
      <c r="BH59" s="7" t="s">
        <v>334</v>
      </c>
      <c r="BI59" s="13"/>
      <c r="BJ59" s="7" t="s">
        <v>2864</v>
      </c>
      <c r="BL59" s="7" t="s">
        <v>536</v>
      </c>
      <c r="BM59" s="7" t="s">
        <v>536</v>
      </c>
      <c r="BN59" s="7" t="s">
        <v>536</v>
      </c>
      <c r="BO59" s="7" t="s">
        <v>536</v>
      </c>
      <c r="BS59" s="14">
        <v>250</v>
      </c>
      <c r="BT59" s="14">
        <v>250</v>
      </c>
      <c r="BU59" s="14">
        <v>250</v>
      </c>
      <c r="BV59" s="14">
        <v>250</v>
      </c>
      <c r="BW59" s="14"/>
      <c r="BX59" s="14"/>
      <c r="BY59" s="7" t="s">
        <v>251</v>
      </c>
      <c r="CA59" s="7" t="s">
        <v>336</v>
      </c>
      <c r="CD59" s="13"/>
      <c r="CG59" s="7" t="s">
        <v>336</v>
      </c>
      <c r="CH59" s="7" t="s">
        <v>336</v>
      </c>
      <c r="CI59" s="7" t="s">
        <v>336</v>
      </c>
      <c r="CM59" s="7" t="s">
        <v>337</v>
      </c>
      <c r="CO59" s="7" t="s">
        <v>535</v>
      </c>
      <c r="CR59" s="7" t="s">
        <v>338</v>
      </c>
    </row>
    <row r="60" spans="1:97" ht="51" x14ac:dyDescent="0.2">
      <c r="A60" s="6" t="s">
        <v>39</v>
      </c>
      <c r="B60" s="7" t="s">
        <v>251</v>
      </c>
      <c r="C60" s="7" t="s">
        <v>331</v>
      </c>
      <c r="D60" s="7" t="s">
        <v>2777</v>
      </c>
      <c r="F60" s="7" t="s">
        <v>334</v>
      </c>
      <c r="I60" s="7" t="s">
        <v>334</v>
      </c>
      <c r="K60" s="7" t="s">
        <v>2880</v>
      </c>
      <c r="M60" s="7" t="s">
        <v>542</v>
      </c>
      <c r="N60" s="13"/>
      <c r="O60" s="13">
        <v>50</v>
      </c>
      <c r="P60" s="7" t="s">
        <v>334</v>
      </c>
      <c r="Q60" s="13"/>
      <c r="R60" s="7" t="s">
        <v>540</v>
      </c>
      <c r="T60" s="7" t="s">
        <v>251</v>
      </c>
      <c r="U60" s="13">
        <v>50</v>
      </c>
      <c r="V60" s="7" t="s">
        <v>130</v>
      </c>
      <c r="W60" s="7" t="s">
        <v>587</v>
      </c>
      <c r="X60" s="14"/>
      <c r="Y60" s="14"/>
      <c r="Z60" s="14"/>
      <c r="AA60" s="14"/>
      <c r="AB60" s="14"/>
      <c r="AC60" s="14">
        <v>2000</v>
      </c>
      <c r="AD60" s="7" t="s">
        <v>251</v>
      </c>
      <c r="AF60" s="7" t="s">
        <v>336</v>
      </c>
      <c r="AH60" s="15"/>
      <c r="AI60" s="13"/>
      <c r="AL60" s="7" t="s">
        <v>336</v>
      </c>
      <c r="AM60" s="7" t="s">
        <v>336</v>
      </c>
      <c r="AN60" s="7" t="s">
        <v>336</v>
      </c>
      <c r="AR60" s="7" t="s">
        <v>337</v>
      </c>
      <c r="AT60" s="7" t="s">
        <v>535</v>
      </c>
      <c r="AW60" s="7" t="s">
        <v>130</v>
      </c>
      <c r="AX60" s="7" t="s">
        <v>348</v>
      </c>
      <c r="AY60" s="7" t="s">
        <v>251</v>
      </c>
      <c r="AZ60" s="7" t="s">
        <v>331</v>
      </c>
      <c r="BA60" s="7" t="s">
        <v>2777</v>
      </c>
      <c r="BC60" s="7" t="s">
        <v>334</v>
      </c>
      <c r="BF60" s="7" t="s">
        <v>334</v>
      </c>
      <c r="BH60" s="7" t="s">
        <v>334</v>
      </c>
      <c r="BI60" s="13"/>
      <c r="BJ60" s="7" t="s">
        <v>2864</v>
      </c>
      <c r="BL60" s="7" t="s">
        <v>536</v>
      </c>
      <c r="BM60" s="7" t="s">
        <v>536</v>
      </c>
      <c r="BN60" s="7" t="s">
        <v>536</v>
      </c>
      <c r="BO60" s="7" t="s">
        <v>536</v>
      </c>
      <c r="BS60" s="14">
        <v>300</v>
      </c>
      <c r="BT60" s="14">
        <v>300</v>
      </c>
      <c r="BU60" s="14"/>
      <c r="BV60" s="14">
        <v>300</v>
      </c>
      <c r="BW60" s="14"/>
      <c r="BX60" s="14"/>
      <c r="BY60" s="7" t="s">
        <v>251</v>
      </c>
      <c r="CA60" s="7" t="s">
        <v>336</v>
      </c>
      <c r="CC60" s="14"/>
      <c r="CD60" s="13"/>
      <c r="CG60" s="7" t="s">
        <v>336</v>
      </c>
      <c r="CH60" s="7" t="s">
        <v>336</v>
      </c>
      <c r="CI60" s="7" t="s">
        <v>336</v>
      </c>
      <c r="CM60" s="7" t="s">
        <v>337</v>
      </c>
      <c r="CO60" s="7" t="s">
        <v>535</v>
      </c>
      <c r="CR60" s="7" t="s">
        <v>130</v>
      </c>
      <c r="CS60" s="7" t="s">
        <v>348</v>
      </c>
    </row>
    <row r="61" spans="1:97" ht="63.75" x14ac:dyDescent="0.2">
      <c r="A61" s="6" t="s">
        <v>40</v>
      </c>
      <c r="B61" s="7" t="s">
        <v>251</v>
      </c>
      <c r="C61" s="7" t="s">
        <v>331</v>
      </c>
      <c r="D61" s="7" t="s">
        <v>2777</v>
      </c>
      <c r="F61" s="7" t="s">
        <v>334</v>
      </c>
      <c r="I61" s="7" t="s">
        <v>334</v>
      </c>
      <c r="K61" s="7" t="s">
        <v>2872</v>
      </c>
      <c r="M61" s="7" t="s">
        <v>334</v>
      </c>
      <c r="N61" s="13"/>
      <c r="O61" s="13"/>
      <c r="P61" s="7" t="s">
        <v>251</v>
      </c>
      <c r="Q61" s="13">
        <v>50</v>
      </c>
      <c r="R61" s="7" t="s">
        <v>540</v>
      </c>
      <c r="T61" s="7" t="s">
        <v>251</v>
      </c>
      <c r="U61" s="13">
        <v>50</v>
      </c>
      <c r="V61" s="7" t="s">
        <v>2858</v>
      </c>
      <c r="X61" s="14"/>
      <c r="Y61" s="14">
        <v>2500</v>
      </c>
      <c r="Z61" s="14">
        <v>2500</v>
      </c>
      <c r="AA61" s="14">
        <v>2000</v>
      </c>
      <c r="AB61" s="14"/>
      <c r="AC61" s="14"/>
      <c r="AD61" s="7" t="s">
        <v>251</v>
      </c>
      <c r="AF61" s="7" t="s">
        <v>336</v>
      </c>
      <c r="AH61" s="15"/>
      <c r="AI61" s="13"/>
      <c r="AL61" s="7" t="s">
        <v>336</v>
      </c>
      <c r="AM61" s="7" t="s">
        <v>336</v>
      </c>
      <c r="AN61" s="7" t="s">
        <v>336</v>
      </c>
      <c r="AR61" s="7" t="s">
        <v>343</v>
      </c>
      <c r="AW61" s="7" t="s">
        <v>338</v>
      </c>
      <c r="AY61" s="7" t="s">
        <v>251</v>
      </c>
      <c r="AZ61" s="7" t="s">
        <v>331</v>
      </c>
      <c r="BA61" s="7" t="s">
        <v>2777</v>
      </c>
      <c r="BC61" s="7" t="s">
        <v>334</v>
      </c>
      <c r="BF61" s="7" t="s">
        <v>334</v>
      </c>
      <c r="BH61" s="7" t="s">
        <v>334</v>
      </c>
      <c r="BI61" s="13"/>
      <c r="BJ61" s="7" t="s">
        <v>2864</v>
      </c>
      <c r="BL61" s="7" t="s">
        <v>536</v>
      </c>
      <c r="BM61" s="7" t="s">
        <v>536</v>
      </c>
      <c r="BN61" s="7" t="s">
        <v>536</v>
      </c>
      <c r="BO61" s="7" t="s">
        <v>536</v>
      </c>
      <c r="BS61" s="14">
        <v>300</v>
      </c>
      <c r="BT61" s="14">
        <v>300</v>
      </c>
      <c r="BU61" s="14"/>
      <c r="BV61" s="14">
        <v>300</v>
      </c>
      <c r="BW61" s="14"/>
      <c r="BX61" s="14"/>
      <c r="BY61" s="7" t="s">
        <v>251</v>
      </c>
      <c r="CA61" s="7" t="s">
        <v>336</v>
      </c>
      <c r="CC61" s="14"/>
      <c r="CD61" s="13"/>
      <c r="CG61" s="7" t="s">
        <v>336</v>
      </c>
      <c r="CH61" s="7" t="s">
        <v>336</v>
      </c>
      <c r="CI61" s="7" t="s">
        <v>336</v>
      </c>
      <c r="CM61" s="7" t="s">
        <v>343</v>
      </c>
      <c r="CR61" s="7" t="s">
        <v>338</v>
      </c>
    </row>
    <row r="62" spans="1:97" ht="76.5" x14ac:dyDescent="0.2">
      <c r="A62" s="6" t="s">
        <v>44</v>
      </c>
      <c r="B62" s="7" t="s">
        <v>251</v>
      </c>
      <c r="C62" s="7" t="s">
        <v>331</v>
      </c>
      <c r="D62" s="7" t="s">
        <v>2777</v>
      </c>
      <c r="F62" s="7" t="s">
        <v>334</v>
      </c>
      <c r="I62" s="7" t="s">
        <v>251</v>
      </c>
      <c r="J62" s="7" t="s">
        <v>590</v>
      </c>
      <c r="K62" s="7" t="s">
        <v>2881</v>
      </c>
      <c r="M62" s="7" t="s">
        <v>539</v>
      </c>
      <c r="N62" s="13">
        <v>25</v>
      </c>
      <c r="O62" s="13">
        <v>50</v>
      </c>
      <c r="P62" s="7" t="s">
        <v>251</v>
      </c>
      <c r="Q62" s="13">
        <v>50</v>
      </c>
      <c r="R62" s="7" t="s">
        <v>534</v>
      </c>
      <c r="T62" s="7" t="s">
        <v>251</v>
      </c>
      <c r="U62" s="13">
        <v>50</v>
      </c>
      <c r="V62" s="7" t="s">
        <v>2855</v>
      </c>
      <c r="X62" s="14"/>
      <c r="Y62" s="14"/>
      <c r="Z62" s="14"/>
      <c r="AA62" s="14"/>
      <c r="AB62" s="14"/>
      <c r="AC62" s="14"/>
      <c r="AD62" s="7" t="s">
        <v>334</v>
      </c>
      <c r="AE62" s="7" t="s">
        <v>591</v>
      </c>
      <c r="AF62" s="7" t="s">
        <v>340</v>
      </c>
      <c r="AG62" s="7" t="s">
        <v>380</v>
      </c>
      <c r="AH62" s="15"/>
      <c r="AI62" s="13"/>
      <c r="AK62" s="7" t="s">
        <v>405</v>
      </c>
      <c r="AL62" s="7" t="s">
        <v>340</v>
      </c>
      <c r="AM62" s="7" t="s">
        <v>340</v>
      </c>
      <c r="AN62" s="7" t="s">
        <v>340</v>
      </c>
      <c r="AQ62" s="7" t="s">
        <v>592</v>
      </c>
      <c r="AR62" s="7" t="s">
        <v>343</v>
      </c>
      <c r="AW62" s="7" t="s">
        <v>344</v>
      </c>
      <c r="AY62" s="7" t="s">
        <v>251</v>
      </c>
      <c r="AZ62" s="7" t="s">
        <v>331</v>
      </c>
      <c r="BA62" s="7" t="s">
        <v>2777</v>
      </c>
      <c r="BC62" s="7" t="s">
        <v>334</v>
      </c>
      <c r="BF62" s="7" t="s">
        <v>251</v>
      </c>
      <c r="BG62" s="7" t="s">
        <v>593</v>
      </c>
      <c r="BH62" s="7" t="s">
        <v>334</v>
      </c>
      <c r="BI62" s="13"/>
      <c r="BJ62" s="7" t="s">
        <v>2864</v>
      </c>
      <c r="BL62" s="7" t="s">
        <v>536</v>
      </c>
      <c r="BM62" s="7" t="s">
        <v>536</v>
      </c>
      <c r="BN62" s="7" t="s">
        <v>536</v>
      </c>
      <c r="BO62" s="7" t="s">
        <v>536</v>
      </c>
      <c r="BS62" s="14"/>
      <c r="BT62" s="14"/>
      <c r="BU62" s="14"/>
      <c r="BV62" s="14"/>
      <c r="BW62" s="14"/>
      <c r="BX62" s="14"/>
      <c r="BY62" s="7" t="s">
        <v>251</v>
      </c>
      <c r="CA62" s="7" t="s">
        <v>340</v>
      </c>
      <c r="CB62" s="7" t="s">
        <v>594</v>
      </c>
      <c r="CC62" s="14"/>
      <c r="CD62" s="13"/>
      <c r="CG62" s="7" t="s">
        <v>340</v>
      </c>
      <c r="CH62" s="7" t="s">
        <v>340</v>
      </c>
      <c r="CI62" s="7" t="s">
        <v>340</v>
      </c>
      <c r="CL62" s="7" t="s">
        <v>595</v>
      </c>
      <c r="CM62" s="7" t="s">
        <v>343</v>
      </c>
      <c r="CR62" s="7" t="s">
        <v>344</v>
      </c>
    </row>
    <row r="63" spans="1:97" ht="63.75" x14ac:dyDescent="0.2">
      <c r="A63" s="6" t="s">
        <v>58</v>
      </c>
      <c r="B63" s="7" t="s">
        <v>251</v>
      </c>
      <c r="C63" s="7" t="s">
        <v>331</v>
      </c>
      <c r="D63" s="7" t="s">
        <v>2777</v>
      </c>
      <c r="F63" s="7" t="s">
        <v>334</v>
      </c>
      <c r="I63" s="7" t="s">
        <v>334</v>
      </c>
      <c r="K63" s="7" t="s">
        <v>2888</v>
      </c>
      <c r="M63" s="7" t="s">
        <v>334</v>
      </c>
      <c r="N63" s="13"/>
      <c r="O63" s="13"/>
      <c r="P63" s="7" t="s">
        <v>334</v>
      </c>
      <c r="Q63" s="13"/>
      <c r="R63" s="7" t="s">
        <v>534</v>
      </c>
      <c r="T63" s="7" t="s">
        <v>334</v>
      </c>
      <c r="U63" s="13"/>
      <c r="V63" s="7" t="s">
        <v>2856</v>
      </c>
      <c r="X63" s="14">
        <v>1500</v>
      </c>
      <c r="Y63" s="14"/>
      <c r="Z63" s="14"/>
      <c r="AA63" s="14"/>
      <c r="AB63" s="14">
        <v>2500</v>
      </c>
      <c r="AC63" s="14"/>
      <c r="AD63" s="7" t="s">
        <v>251</v>
      </c>
      <c r="AF63" s="7" t="s">
        <v>340</v>
      </c>
      <c r="AG63" s="7" t="s">
        <v>396</v>
      </c>
      <c r="AH63" s="15">
        <v>7.07</v>
      </c>
      <c r="AI63" s="13"/>
      <c r="AL63" s="7" t="s">
        <v>340</v>
      </c>
      <c r="AM63" s="7" t="s">
        <v>340</v>
      </c>
      <c r="AN63" s="7" t="s">
        <v>340</v>
      </c>
      <c r="AQ63" s="7" t="s">
        <v>613</v>
      </c>
      <c r="AR63" s="7" t="s">
        <v>337</v>
      </c>
      <c r="AT63" s="7" t="s">
        <v>556</v>
      </c>
      <c r="AW63" s="7" t="s">
        <v>338</v>
      </c>
      <c r="AY63" s="7" t="s">
        <v>251</v>
      </c>
      <c r="AZ63" s="7" t="s">
        <v>331</v>
      </c>
      <c r="BA63" s="7" t="s">
        <v>2777</v>
      </c>
      <c r="BC63" s="7" t="s">
        <v>334</v>
      </c>
      <c r="BF63" s="7" t="s">
        <v>334</v>
      </c>
      <c r="BH63" s="7" t="s">
        <v>334</v>
      </c>
      <c r="BI63" s="13"/>
      <c r="BJ63" s="7" t="s">
        <v>2894</v>
      </c>
      <c r="BK63" s="7" t="s">
        <v>614</v>
      </c>
      <c r="BL63" s="7" t="s">
        <v>536</v>
      </c>
      <c r="BM63" s="7" t="s">
        <v>536</v>
      </c>
      <c r="BN63" s="7" t="s">
        <v>536</v>
      </c>
      <c r="BS63" s="14">
        <v>200</v>
      </c>
      <c r="BT63" s="14">
        <v>200</v>
      </c>
      <c r="BU63" s="14"/>
      <c r="BV63" s="14"/>
      <c r="BW63" s="14"/>
      <c r="BX63" s="14">
        <v>200</v>
      </c>
      <c r="BY63" s="7" t="s">
        <v>251</v>
      </c>
      <c r="CA63" s="7" t="s">
        <v>340</v>
      </c>
      <c r="CB63" s="7" t="s">
        <v>396</v>
      </c>
      <c r="CC63" s="14">
        <v>0</v>
      </c>
      <c r="CD63" s="13"/>
      <c r="CG63" s="7" t="s">
        <v>340</v>
      </c>
      <c r="CH63" s="7" t="s">
        <v>340</v>
      </c>
      <c r="CI63" s="7" t="s">
        <v>340</v>
      </c>
      <c r="CL63" s="7" t="s">
        <v>615</v>
      </c>
      <c r="CM63" s="7" t="s">
        <v>337</v>
      </c>
      <c r="CO63" s="7" t="s">
        <v>556</v>
      </c>
      <c r="CR63" s="7" t="s">
        <v>338</v>
      </c>
    </row>
    <row r="64" spans="1:97" ht="63.75" x14ac:dyDescent="0.2">
      <c r="A64" s="6" t="s">
        <v>15</v>
      </c>
      <c r="B64" s="7" t="s">
        <v>251</v>
      </c>
      <c r="C64" s="7" t="s">
        <v>331</v>
      </c>
      <c r="D64" s="7" t="s">
        <v>2777</v>
      </c>
      <c r="F64" s="7" t="s">
        <v>334</v>
      </c>
      <c r="I64" s="7" t="s">
        <v>334</v>
      </c>
      <c r="K64" s="7" t="s">
        <v>2869</v>
      </c>
      <c r="M64" s="7" t="s">
        <v>334</v>
      </c>
      <c r="N64" s="13"/>
      <c r="O64" s="13"/>
      <c r="P64" s="7" t="s">
        <v>251</v>
      </c>
      <c r="Q64" s="13">
        <v>50</v>
      </c>
      <c r="R64" s="7" t="s">
        <v>540</v>
      </c>
      <c r="T64" s="7" t="s">
        <v>251</v>
      </c>
      <c r="U64" s="13">
        <v>50</v>
      </c>
      <c r="V64" s="7" t="s">
        <v>2858</v>
      </c>
      <c r="X64" s="14"/>
      <c r="Y64" s="14">
        <v>2000</v>
      </c>
      <c r="Z64" s="14">
        <v>2000</v>
      </c>
      <c r="AA64" s="14"/>
      <c r="AB64" s="14"/>
      <c r="AC64" s="14"/>
      <c r="AD64" s="7" t="s">
        <v>251</v>
      </c>
      <c r="AF64" s="7" t="s">
        <v>336</v>
      </c>
      <c r="AH64" s="15"/>
      <c r="AI64" s="13"/>
      <c r="AL64" s="7" t="s">
        <v>336</v>
      </c>
      <c r="AM64" s="7" t="s">
        <v>336</v>
      </c>
      <c r="AN64" s="7" t="s">
        <v>336</v>
      </c>
      <c r="AR64" s="7" t="s">
        <v>337</v>
      </c>
      <c r="AT64" s="7" t="s">
        <v>535</v>
      </c>
      <c r="AW64" s="7" t="s">
        <v>338</v>
      </c>
      <c r="AY64" s="7" t="s">
        <v>251</v>
      </c>
      <c r="AZ64" s="7" t="s">
        <v>331</v>
      </c>
      <c r="BA64" s="7" t="s">
        <v>2777</v>
      </c>
      <c r="BC64" s="7" t="s">
        <v>334</v>
      </c>
      <c r="BF64" s="7" t="s">
        <v>334</v>
      </c>
      <c r="BH64" s="7" t="s">
        <v>251</v>
      </c>
      <c r="BI64" s="13">
        <v>10</v>
      </c>
      <c r="BJ64" s="7" t="s">
        <v>2864</v>
      </c>
      <c r="BL64" s="7" t="s">
        <v>536</v>
      </c>
      <c r="BM64" s="7" t="s">
        <v>536</v>
      </c>
      <c r="BN64" s="7" t="s">
        <v>536</v>
      </c>
      <c r="BO64" s="7" t="s">
        <v>536</v>
      </c>
      <c r="BS64" s="14"/>
      <c r="BT64" s="14"/>
      <c r="BU64" s="14"/>
      <c r="BV64" s="14"/>
      <c r="BW64" s="14"/>
      <c r="BX64" s="14"/>
      <c r="BY64" s="7" t="s">
        <v>251</v>
      </c>
      <c r="CA64" s="7" t="s">
        <v>336</v>
      </c>
      <c r="CC64" s="14"/>
      <c r="CD64" s="13"/>
      <c r="CG64" s="7" t="s">
        <v>336</v>
      </c>
      <c r="CH64" s="7" t="s">
        <v>336</v>
      </c>
      <c r="CI64" s="7" t="s">
        <v>336</v>
      </c>
      <c r="CM64" s="7" t="s">
        <v>337</v>
      </c>
      <c r="CO64" s="7" t="s">
        <v>535</v>
      </c>
      <c r="CR64" s="7" t="s">
        <v>338</v>
      </c>
    </row>
    <row r="65" spans="1:97" x14ac:dyDescent="0.2">
      <c r="A65" s="21" t="s">
        <v>3357</v>
      </c>
      <c r="B65" s="7">
        <f t="shared" ref="B65:AG65" si="0">COUNTA(B3:B64)</f>
        <v>62</v>
      </c>
      <c r="C65" s="7">
        <f t="shared" si="0"/>
        <v>62</v>
      </c>
      <c r="D65" s="7">
        <f t="shared" si="0"/>
        <v>62</v>
      </c>
      <c r="E65" s="7">
        <f t="shared" si="0"/>
        <v>0</v>
      </c>
      <c r="F65" s="7">
        <f t="shared" si="0"/>
        <v>62</v>
      </c>
      <c r="G65" s="7">
        <f t="shared" si="0"/>
        <v>0</v>
      </c>
      <c r="H65" s="7">
        <f t="shared" si="0"/>
        <v>2</v>
      </c>
      <c r="I65" s="7">
        <f t="shared" si="0"/>
        <v>62</v>
      </c>
      <c r="J65" s="7">
        <f t="shared" si="0"/>
        <v>8</v>
      </c>
      <c r="K65" s="7">
        <f t="shared" si="0"/>
        <v>62</v>
      </c>
      <c r="L65" s="7">
        <f t="shared" si="0"/>
        <v>4</v>
      </c>
      <c r="M65" s="7">
        <f t="shared" si="0"/>
        <v>62</v>
      </c>
      <c r="N65" s="7">
        <f t="shared" si="0"/>
        <v>15</v>
      </c>
      <c r="O65" s="7">
        <f t="shared" si="0"/>
        <v>27</v>
      </c>
      <c r="P65" s="7">
        <f t="shared" si="0"/>
        <v>61</v>
      </c>
      <c r="Q65" s="7">
        <f t="shared" si="0"/>
        <v>49</v>
      </c>
      <c r="R65" s="7">
        <f t="shared" si="0"/>
        <v>55</v>
      </c>
      <c r="S65" s="7">
        <f t="shared" si="0"/>
        <v>0</v>
      </c>
      <c r="T65" s="7">
        <f t="shared" si="0"/>
        <v>53</v>
      </c>
      <c r="U65" s="7">
        <f t="shared" si="0"/>
        <v>42</v>
      </c>
      <c r="V65" s="7">
        <f t="shared" si="0"/>
        <v>62</v>
      </c>
      <c r="W65" s="7">
        <f t="shared" si="0"/>
        <v>7</v>
      </c>
      <c r="X65" s="7">
        <f t="shared" si="0"/>
        <v>37</v>
      </c>
      <c r="Y65" s="7">
        <f t="shared" si="0"/>
        <v>20</v>
      </c>
      <c r="Z65" s="7">
        <f t="shared" si="0"/>
        <v>18</v>
      </c>
      <c r="AA65" s="7">
        <f t="shared" si="0"/>
        <v>23</v>
      </c>
      <c r="AB65" s="7">
        <f t="shared" si="0"/>
        <v>35</v>
      </c>
      <c r="AC65" s="7">
        <f t="shared" si="0"/>
        <v>6</v>
      </c>
      <c r="AD65" s="7">
        <f t="shared" si="0"/>
        <v>62</v>
      </c>
      <c r="AE65" s="7">
        <f t="shared" si="0"/>
        <v>3</v>
      </c>
      <c r="AF65" s="7">
        <f t="shared" si="0"/>
        <v>62</v>
      </c>
      <c r="AG65" s="7">
        <f t="shared" si="0"/>
        <v>11</v>
      </c>
      <c r="AH65" s="7">
        <f t="shared" ref="AH65:BM65" si="1">COUNTA(AH3:AH64)</f>
        <v>2</v>
      </c>
      <c r="AI65" s="7">
        <f t="shared" si="1"/>
        <v>3</v>
      </c>
      <c r="AJ65" s="7">
        <f t="shared" si="1"/>
        <v>0</v>
      </c>
      <c r="AK65" s="7">
        <f t="shared" si="1"/>
        <v>4</v>
      </c>
      <c r="AL65" s="7">
        <f t="shared" si="1"/>
        <v>62</v>
      </c>
      <c r="AM65" s="7">
        <f t="shared" si="1"/>
        <v>58</v>
      </c>
      <c r="AN65" s="7">
        <f t="shared" si="1"/>
        <v>61</v>
      </c>
      <c r="AO65" s="7">
        <f t="shared" si="1"/>
        <v>0</v>
      </c>
      <c r="AP65" s="7">
        <f t="shared" si="1"/>
        <v>0</v>
      </c>
      <c r="AQ65" s="7">
        <f t="shared" si="1"/>
        <v>9</v>
      </c>
      <c r="AR65" s="7">
        <f t="shared" si="1"/>
        <v>62</v>
      </c>
      <c r="AS65" s="7">
        <f t="shared" si="1"/>
        <v>0</v>
      </c>
      <c r="AT65" s="7">
        <f t="shared" si="1"/>
        <v>43</v>
      </c>
      <c r="AU65" s="7">
        <f t="shared" si="1"/>
        <v>1</v>
      </c>
      <c r="AV65" s="7">
        <f t="shared" si="1"/>
        <v>0</v>
      </c>
      <c r="AW65" s="7">
        <f t="shared" si="1"/>
        <v>62</v>
      </c>
      <c r="AX65" s="7">
        <f t="shared" si="1"/>
        <v>5</v>
      </c>
      <c r="AY65" s="7">
        <f t="shared" si="1"/>
        <v>62</v>
      </c>
      <c r="AZ65" s="7">
        <f t="shared" si="1"/>
        <v>59</v>
      </c>
      <c r="BA65" s="7">
        <f t="shared" si="1"/>
        <v>58</v>
      </c>
      <c r="BB65" s="7">
        <f t="shared" si="1"/>
        <v>0</v>
      </c>
      <c r="BC65" s="7">
        <f t="shared" si="1"/>
        <v>59</v>
      </c>
      <c r="BD65" s="7">
        <f t="shared" si="1"/>
        <v>0</v>
      </c>
      <c r="BE65" s="7">
        <f t="shared" si="1"/>
        <v>2</v>
      </c>
      <c r="BF65" s="7">
        <f t="shared" si="1"/>
        <v>59</v>
      </c>
      <c r="BG65" s="7">
        <f t="shared" si="1"/>
        <v>6</v>
      </c>
      <c r="BH65" s="7">
        <f t="shared" si="1"/>
        <v>59</v>
      </c>
      <c r="BI65" s="7">
        <f t="shared" si="1"/>
        <v>5</v>
      </c>
      <c r="BJ65" s="7">
        <f t="shared" si="1"/>
        <v>59</v>
      </c>
      <c r="BK65" s="7">
        <f t="shared" si="1"/>
        <v>8</v>
      </c>
      <c r="BL65" s="7">
        <f t="shared" si="1"/>
        <v>53</v>
      </c>
      <c r="BM65" s="7">
        <f t="shared" si="1"/>
        <v>52</v>
      </c>
      <c r="BN65" s="7">
        <f t="shared" ref="BN65:CS65" si="2">COUNTA(BN3:BN64)</f>
        <v>56</v>
      </c>
      <c r="BO65" s="7">
        <f t="shared" si="2"/>
        <v>46</v>
      </c>
      <c r="BP65" s="7">
        <f t="shared" si="2"/>
        <v>2</v>
      </c>
      <c r="BQ65" s="7">
        <f t="shared" si="2"/>
        <v>5</v>
      </c>
      <c r="BR65" s="7">
        <f t="shared" si="2"/>
        <v>8</v>
      </c>
      <c r="BS65" s="7">
        <f t="shared" si="2"/>
        <v>52</v>
      </c>
      <c r="BT65" s="7">
        <f t="shared" si="2"/>
        <v>52</v>
      </c>
      <c r="BU65" s="7">
        <f t="shared" si="2"/>
        <v>29</v>
      </c>
      <c r="BV65" s="7">
        <f t="shared" si="2"/>
        <v>44</v>
      </c>
      <c r="BW65" s="7">
        <f t="shared" si="2"/>
        <v>1</v>
      </c>
      <c r="BX65" s="7">
        <f t="shared" si="2"/>
        <v>8</v>
      </c>
      <c r="BY65" s="7">
        <f t="shared" si="2"/>
        <v>58</v>
      </c>
      <c r="BZ65" s="7">
        <f t="shared" si="2"/>
        <v>7</v>
      </c>
      <c r="CA65" s="7">
        <f t="shared" si="2"/>
        <v>59</v>
      </c>
      <c r="CB65" s="7">
        <f t="shared" si="2"/>
        <v>7</v>
      </c>
      <c r="CC65" s="7">
        <f t="shared" si="2"/>
        <v>2</v>
      </c>
      <c r="CD65" s="7">
        <f t="shared" si="2"/>
        <v>2</v>
      </c>
      <c r="CE65" s="7">
        <f t="shared" si="2"/>
        <v>0</v>
      </c>
      <c r="CF65" s="7">
        <f t="shared" si="2"/>
        <v>1</v>
      </c>
      <c r="CG65" s="7">
        <f t="shared" si="2"/>
        <v>58</v>
      </c>
      <c r="CH65" s="7">
        <f t="shared" si="2"/>
        <v>54</v>
      </c>
      <c r="CI65" s="7">
        <f t="shared" si="2"/>
        <v>58</v>
      </c>
      <c r="CJ65" s="7">
        <f t="shared" si="2"/>
        <v>0</v>
      </c>
      <c r="CK65" s="7">
        <f t="shared" si="2"/>
        <v>0</v>
      </c>
      <c r="CL65" s="7">
        <f t="shared" si="2"/>
        <v>7</v>
      </c>
      <c r="CM65" s="7">
        <f t="shared" si="2"/>
        <v>59</v>
      </c>
      <c r="CN65" s="7">
        <f t="shared" si="2"/>
        <v>1</v>
      </c>
      <c r="CO65" s="7">
        <f t="shared" si="2"/>
        <v>38</v>
      </c>
      <c r="CP65" s="7">
        <f t="shared" si="2"/>
        <v>1</v>
      </c>
      <c r="CQ65" s="7">
        <f t="shared" si="2"/>
        <v>2</v>
      </c>
      <c r="CR65" s="7">
        <f t="shared" si="2"/>
        <v>59</v>
      </c>
      <c r="CS65" s="7">
        <f t="shared" si="2"/>
        <v>5</v>
      </c>
    </row>
  </sheetData>
  <autoFilter ref="A2:CS64" xr:uid="{31842205-B9E8-4D8A-97EF-F06E8511679C}"/>
  <sortState xmlns:xlrd2="http://schemas.microsoft.com/office/spreadsheetml/2017/richdata2" ref="A3:CS64">
    <sortCondition ref="A3:A64"/>
  </sortState>
  <hyperlinks>
    <hyperlink ref="A1" location="Index!A1" display="Back to Index" xr:uid="{00000000-0004-0000-03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F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5.7109375" style="6"/>
    <col min="2" max="14" width="30.7109375" style="7" customWidth="1"/>
    <col min="15" max="15" width="60.7109375" style="7" customWidth="1"/>
    <col min="16" max="20" width="30.7109375" style="7" customWidth="1"/>
    <col min="21" max="21" width="60.7109375" style="7" customWidth="1"/>
    <col min="22" max="56" width="30.7109375" style="7" customWidth="1"/>
    <col min="57" max="57" width="50.7109375" style="7" customWidth="1"/>
    <col min="58" max="60" width="30.7109375" style="7" customWidth="1"/>
    <col min="61" max="61" width="60.7109375" style="7" customWidth="1"/>
    <col min="62" max="110" width="30.7109375" style="7" customWidth="1"/>
    <col min="111" max="16384" width="15.7109375" style="6"/>
  </cols>
  <sheetData>
    <row r="1" spans="1:110" s="9" customFormat="1" x14ac:dyDescent="0.2">
      <c r="A1" s="12" t="s">
        <v>1984</v>
      </c>
      <c r="B1" s="8" t="s">
        <v>630</v>
      </c>
      <c r="C1" s="8" t="s">
        <v>631</v>
      </c>
      <c r="D1" s="8" t="s">
        <v>632</v>
      </c>
      <c r="E1" s="8" t="s">
        <v>633</v>
      </c>
      <c r="F1" s="8" t="s">
        <v>634</v>
      </c>
      <c r="G1" s="8" t="s">
        <v>635</v>
      </c>
      <c r="H1" s="8" t="s">
        <v>636</v>
      </c>
      <c r="I1" s="8" t="s">
        <v>637</v>
      </c>
      <c r="J1" s="8" t="s">
        <v>638</v>
      </c>
      <c r="K1" s="8" t="s">
        <v>639</v>
      </c>
      <c r="L1" s="8" t="s">
        <v>640</v>
      </c>
      <c r="M1" s="8" t="s">
        <v>641</v>
      </c>
      <c r="N1" s="8" t="s">
        <v>642</v>
      </c>
      <c r="O1" s="8" t="s">
        <v>643</v>
      </c>
      <c r="P1" s="8" t="s">
        <v>644</v>
      </c>
      <c r="Q1" s="8" t="s">
        <v>645</v>
      </c>
      <c r="R1" s="8" t="s">
        <v>646</v>
      </c>
      <c r="S1" s="8" t="s">
        <v>647</v>
      </c>
      <c r="T1" s="8" t="s">
        <v>648</v>
      </c>
      <c r="U1" s="8" t="s">
        <v>649</v>
      </c>
      <c r="V1" s="8" t="s">
        <v>650</v>
      </c>
      <c r="W1" s="8" t="s">
        <v>651</v>
      </c>
      <c r="X1" s="8" t="s">
        <v>652</v>
      </c>
      <c r="Y1" s="8" t="s">
        <v>653</v>
      </c>
      <c r="Z1" s="8" t="s">
        <v>654</v>
      </c>
      <c r="AA1" s="8" t="s">
        <v>655</v>
      </c>
      <c r="AB1" s="8" t="s">
        <v>656</v>
      </c>
      <c r="AC1" s="8" t="s">
        <v>657</v>
      </c>
      <c r="AD1" s="8" t="s">
        <v>658</v>
      </c>
      <c r="AE1" s="8" t="s">
        <v>659</v>
      </c>
      <c r="AF1" s="8" t="s">
        <v>660</v>
      </c>
      <c r="AG1" s="8" t="s">
        <v>661</v>
      </c>
      <c r="AH1" s="8" t="s">
        <v>662</v>
      </c>
      <c r="AI1" s="8" t="s">
        <v>663</v>
      </c>
      <c r="AJ1" s="8" t="s">
        <v>664</v>
      </c>
      <c r="AK1" s="8" t="s">
        <v>665</v>
      </c>
      <c r="AL1" s="8" t="s">
        <v>666</v>
      </c>
      <c r="AM1" s="8" t="s">
        <v>667</v>
      </c>
      <c r="AN1" s="8" t="s">
        <v>668</v>
      </c>
      <c r="AO1" s="8" t="s">
        <v>669</v>
      </c>
      <c r="AP1" s="8" t="s">
        <v>670</v>
      </c>
      <c r="AQ1" s="8" t="s">
        <v>671</v>
      </c>
      <c r="AR1" s="8" t="s">
        <v>672</v>
      </c>
      <c r="AS1" s="8" t="s">
        <v>673</v>
      </c>
      <c r="AT1" s="8" t="s">
        <v>674</v>
      </c>
      <c r="AU1" s="8" t="s">
        <v>3377</v>
      </c>
      <c r="AV1" s="8" t="s">
        <v>675</v>
      </c>
      <c r="AW1" s="8" t="s">
        <v>676</v>
      </c>
      <c r="AX1" s="8" t="s">
        <v>677</v>
      </c>
      <c r="AY1" s="8" t="s">
        <v>678</v>
      </c>
      <c r="AZ1" s="8" t="s">
        <v>679</v>
      </c>
      <c r="BA1" s="8" t="s">
        <v>680</v>
      </c>
      <c r="BB1" s="8" t="s">
        <v>681</v>
      </c>
      <c r="BC1" s="8" t="s">
        <v>682</v>
      </c>
      <c r="BD1" s="8" t="s">
        <v>683</v>
      </c>
      <c r="BE1" s="8" t="s">
        <v>684</v>
      </c>
      <c r="BF1" s="8" t="s">
        <v>685</v>
      </c>
      <c r="BG1" s="8" t="s">
        <v>686</v>
      </c>
      <c r="BH1" s="8" t="s">
        <v>687</v>
      </c>
      <c r="BI1" s="8" t="s">
        <v>688</v>
      </c>
      <c r="BJ1" s="8" t="s">
        <v>689</v>
      </c>
      <c r="BK1" s="8" t="s">
        <v>690</v>
      </c>
      <c r="BL1" s="8" t="s">
        <v>691</v>
      </c>
      <c r="BM1" s="8" t="s">
        <v>692</v>
      </c>
      <c r="BN1" s="8" t="s">
        <v>693</v>
      </c>
      <c r="BO1" s="8" t="s">
        <v>694</v>
      </c>
      <c r="BP1" s="8" t="s">
        <v>695</v>
      </c>
      <c r="BQ1" s="8" t="s">
        <v>696</v>
      </c>
      <c r="BR1" s="8" t="s">
        <v>697</v>
      </c>
      <c r="BS1" s="8" t="s">
        <v>698</v>
      </c>
      <c r="BT1" s="8" t="s">
        <v>699</v>
      </c>
      <c r="BU1" s="8" t="s">
        <v>700</v>
      </c>
      <c r="BV1" s="8" t="s">
        <v>701</v>
      </c>
      <c r="BW1" s="8" t="s">
        <v>702</v>
      </c>
      <c r="BX1" s="8" t="s">
        <v>703</v>
      </c>
      <c r="BY1" s="8" t="s">
        <v>704</v>
      </c>
      <c r="BZ1" s="8" t="s">
        <v>705</v>
      </c>
      <c r="CA1" s="8" t="s">
        <v>706</v>
      </c>
      <c r="CB1" s="8" t="s">
        <v>707</v>
      </c>
      <c r="CC1" s="8" t="s">
        <v>708</v>
      </c>
      <c r="CD1" s="8" t="s">
        <v>709</v>
      </c>
      <c r="CE1" s="8" t="s">
        <v>710</v>
      </c>
      <c r="CF1" s="8" t="s">
        <v>711</v>
      </c>
      <c r="CG1" s="8" t="s">
        <v>712</v>
      </c>
      <c r="CH1" s="8" t="s">
        <v>713</v>
      </c>
      <c r="CI1" s="8" t="s">
        <v>714</v>
      </c>
      <c r="CJ1" s="8" t="s">
        <v>715</v>
      </c>
      <c r="CK1" s="8" t="s">
        <v>716</v>
      </c>
      <c r="CL1" s="8" t="s">
        <v>717</v>
      </c>
      <c r="CM1" s="8" t="s">
        <v>718</v>
      </c>
      <c r="CN1" s="8" t="s">
        <v>719</v>
      </c>
      <c r="CO1" s="8" t="s">
        <v>720</v>
      </c>
      <c r="CP1" s="8" t="s">
        <v>721</v>
      </c>
      <c r="CQ1" s="8" t="s">
        <v>722</v>
      </c>
      <c r="CR1" s="8" t="s">
        <v>723</v>
      </c>
      <c r="CS1" s="8" t="s">
        <v>724</v>
      </c>
      <c r="CT1" s="8" t="s">
        <v>725</v>
      </c>
      <c r="CU1" s="8" t="s">
        <v>726</v>
      </c>
      <c r="CV1" s="8" t="s">
        <v>727</v>
      </c>
      <c r="CW1" s="8" t="s">
        <v>728</v>
      </c>
      <c r="CX1" s="8" t="s">
        <v>729</v>
      </c>
      <c r="CY1" s="8" t="s">
        <v>730</v>
      </c>
      <c r="CZ1" s="8" t="s">
        <v>731</v>
      </c>
      <c r="DA1" s="8" t="s">
        <v>732</v>
      </c>
      <c r="DB1" s="8" t="s">
        <v>733</v>
      </c>
      <c r="DC1" s="8" t="s">
        <v>734</v>
      </c>
      <c r="DD1" s="8" t="s">
        <v>735</v>
      </c>
      <c r="DE1" s="8" t="s">
        <v>736</v>
      </c>
      <c r="DF1" s="8" t="s">
        <v>737</v>
      </c>
    </row>
    <row r="2" spans="1:110" s="9" customFormat="1" ht="63.75" x14ac:dyDescent="0.2">
      <c r="A2" s="9" t="s">
        <v>2713</v>
      </c>
      <c r="B2" s="17" t="s">
        <v>2120</v>
      </c>
      <c r="C2" s="18" t="s">
        <v>2121</v>
      </c>
      <c r="D2" s="18" t="s">
        <v>2122</v>
      </c>
      <c r="E2" s="18" t="s">
        <v>2123</v>
      </c>
      <c r="F2" s="17" t="s">
        <v>2124</v>
      </c>
      <c r="G2" s="17" t="s">
        <v>1994</v>
      </c>
      <c r="H2" s="17" t="s">
        <v>1995</v>
      </c>
      <c r="I2" s="8" t="s">
        <v>2125</v>
      </c>
      <c r="J2" s="8" t="s">
        <v>2126</v>
      </c>
      <c r="K2" s="8" t="s">
        <v>2127</v>
      </c>
      <c r="L2" s="8" t="s">
        <v>2128</v>
      </c>
      <c r="M2" s="8" t="s">
        <v>2129</v>
      </c>
      <c r="N2" s="8" t="s">
        <v>2130</v>
      </c>
      <c r="O2" s="8" t="s">
        <v>2131</v>
      </c>
      <c r="P2" s="17" t="s">
        <v>2132</v>
      </c>
      <c r="Q2" s="17" t="s">
        <v>2133</v>
      </c>
      <c r="R2" s="8" t="s">
        <v>2134</v>
      </c>
      <c r="S2" s="8" t="s">
        <v>2022</v>
      </c>
      <c r="T2" s="17" t="s">
        <v>2135</v>
      </c>
      <c r="U2" s="17" t="s">
        <v>2136</v>
      </c>
      <c r="V2" s="8" t="s">
        <v>2137</v>
      </c>
      <c r="W2" s="8" t="s">
        <v>2138</v>
      </c>
      <c r="X2" s="8" t="s">
        <v>2139</v>
      </c>
      <c r="Y2" s="17" t="s">
        <v>2140</v>
      </c>
      <c r="Z2" s="8" t="s">
        <v>2141</v>
      </c>
      <c r="AA2" s="8" t="s">
        <v>2024</v>
      </c>
      <c r="AB2" s="8" t="s">
        <v>2025</v>
      </c>
      <c r="AC2" s="8" t="s">
        <v>2026</v>
      </c>
      <c r="AD2" s="8" t="s">
        <v>2027</v>
      </c>
      <c r="AE2" s="8" t="s">
        <v>2028</v>
      </c>
      <c r="AF2" s="17" t="s">
        <v>2142</v>
      </c>
      <c r="AG2" s="17" t="s">
        <v>2143</v>
      </c>
      <c r="AH2" s="8" t="s">
        <v>2144</v>
      </c>
      <c r="AI2" s="8" t="s">
        <v>2145</v>
      </c>
      <c r="AJ2" s="17" t="s">
        <v>2146</v>
      </c>
      <c r="AK2" s="8" t="s">
        <v>2147</v>
      </c>
      <c r="AL2" s="8" t="s">
        <v>2148</v>
      </c>
      <c r="AM2" s="8" t="s">
        <v>2149</v>
      </c>
      <c r="AN2" s="17" t="s">
        <v>2150</v>
      </c>
      <c r="AO2" s="17" t="s">
        <v>1994</v>
      </c>
      <c r="AP2" s="17" t="s">
        <v>1995</v>
      </c>
      <c r="AQ2" s="8" t="s">
        <v>2151</v>
      </c>
      <c r="AR2" s="8" t="s">
        <v>2152</v>
      </c>
      <c r="AS2" s="17" t="s">
        <v>2153</v>
      </c>
      <c r="AT2" s="17" t="s">
        <v>2154</v>
      </c>
      <c r="AU2" s="17" t="s">
        <v>2155</v>
      </c>
      <c r="AV2" s="17" t="s">
        <v>2156</v>
      </c>
      <c r="AW2" s="17" t="s">
        <v>2129</v>
      </c>
      <c r="AX2" s="17" t="s">
        <v>2130</v>
      </c>
      <c r="AY2" s="17" t="s">
        <v>2157</v>
      </c>
      <c r="AZ2" s="8" t="s">
        <v>2158</v>
      </c>
      <c r="BA2" s="8" t="s">
        <v>2159</v>
      </c>
      <c r="BB2" s="17" t="s">
        <v>2160</v>
      </c>
      <c r="BC2" s="17" t="s">
        <v>2022</v>
      </c>
      <c r="BD2" s="8" t="s">
        <v>2161</v>
      </c>
      <c r="BE2" s="8" t="s">
        <v>2162</v>
      </c>
      <c r="BF2" s="17" t="s">
        <v>2163</v>
      </c>
      <c r="BG2" s="17" t="s">
        <v>2164</v>
      </c>
      <c r="BH2" s="17" t="s">
        <v>2165</v>
      </c>
      <c r="BI2" s="17" t="s">
        <v>2166</v>
      </c>
      <c r="BJ2" s="8" t="s">
        <v>2167</v>
      </c>
      <c r="BK2" s="8" t="s">
        <v>2024</v>
      </c>
      <c r="BL2" s="8" t="s">
        <v>2025</v>
      </c>
      <c r="BM2" s="8" t="s">
        <v>2026</v>
      </c>
      <c r="BN2" s="8" t="s">
        <v>2027</v>
      </c>
      <c r="BO2" s="8" t="s">
        <v>2028</v>
      </c>
      <c r="BP2" s="17" t="s">
        <v>2168</v>
      </c>
      <c r="BQ2" s="17" t="s">
        <v>2169</v>
      </c>
      <c r="BR2" s="8" t="s">
        <v>2170</v>
      </c>
      <c r="BS2" s="8" t="s">
        <v>2171</v>
      </c>
      <c r="BT2" s="8" t="s">
        <v>2172</v>
      </c>
      <c r="BU2" s="17" t="s">
        <v>2173</v>
      </c>
      <c r="BV2" s="17" t="s">
        <v>2174</v>
      </c>
      <c r="BW2" s="8" t="s">
        <v>2175</v>
      </c>
      <c r="BX2" s="17" t="s">
        <v>2176</v>
      </c>
      <c r="BY2" s="17" t="s">
        <v>2177</v>
      </c>
      <c r="BZ2" s="17" t="s">
        <v>2178</v>
      </c>
      <c r="CA2" s="8" t="s">
        <v>2179</v>
      </c>
      <c r="CB2" s="8" t="s">
        <v>1994</v>
      </c>
      <c r="CC2" s="8" t="s">
        <v>1995</v>
      </c>
      <c r="CD2" s="17" t="s">
        <v>2180</v>
      </c>
      <c r="CE2" s="17" t="s">
        <v>2181</v>
      </c>
      <c r="CF2" s="17" t="s">
        <v>2182</v>
      </c>
      <c r="CG2" s="17" t="s">
        <v>2183</v>
      </c>
      <c r="CH2" s="17" t="s">
        <v>2129</v>
      </c>
      <c r="CI2" s="17" t="s">
        <v>2130</v>
      </c>
      <c r="CJ2" s="17" t="s">
        <v>2184</v>
      </c>
      <c r="CK2" s="8" t="s">
        <v>2185</v>
      </c>
      <c r="CL2" s="8" t="s">
        <v>2186</v>
      </c>
      <c r="CM2" s="17" t="s">
        <v>2187</v>
      </c>
      <c r="CN2" s="17" t="s">
        <v>2022</v>
      </c>
      <c r="CO2" s="8" t="s">
        <v>2188</v>
      </c>
      <c r="CP2" s="17" t="s">
        <v>2189</v>
      </c>
      <c r="CQ2" s="17" t="s">
        <v>2190</v>
      </c>
      <c r="CR2" s="17" t="s">
        <v>2191</v>
      </c>
      <c r="CS2" s="17" t="s">
        <v>2192</v>
      </c>
      <c r="CT2" s="8" t="s">
        <v>2193</v>
      </c>
      <c r="CU2" s="8" t="s">
        <v>2024</v>
      </c>
      <c r="CV2" s="8" t="s">
        <v>2025</v>
      </c>
      <c r="CW2" s="8" t="s">
        <v>2026</v>
      </c>
      <c r="CX2" s="8" t="s">
        <v>2027</v>
      </c>
      <c r="CY2" s="8" t="s">
        <v>2028</v>
      </c>
      <c r="CZ2" s="17" t="s">
        <v>2194</v>
      </c>
      <c r="DA2" s="17" t="s">
        <v>2195</v>
      </c>
      <c r="DB2" s="8" t="s">
        <v>2196</v>
      </c>
      <c r="DC2" s="8" t="s">
        <v>2197</v>
      </c>
      <c r="DD2" s="8" t="s">
        <v>2198</v>
      </c>
      <c r="DE2" s="17" t="s">
        <v>2199</v>
      </c>
      <c r="DF2" s="17" t="s">
        <v>2200</v>
      </c>
    </row>
    <row r="3" spans="1:110" ht="51" x14ac:dyDescent="0.2">
      <c r="A3" s="6" t="s">
        <v>69</v>
      </c>
      <c r="B3" s="7" t="s">
        <v>251</v>
      </c>
      <c r="C3" s="7" t="s">
        <v>331</v>
      </c>
      <c r="D3" s="7" t="s">
        <v>2777</v>
      </c>
      <c r="F3" s="7" t="s">
        <v>334</v>
      </c>
      <c r="I3" s="7" t="s">
        <v>738</v>
      </c>
      <c r="K3" s="7" t="s">
        <v>2901</v>
      </c>
      <c r="M3" s="7" t="s">
        <v>749</v>
      </c>
      <c r="P3" s="7" t="s">
        <v>251</v>
      </c>
      <c r="Q3" s="14">
        <v>800000</v>
      </c>
      <c r="R3" s="7" t="s">
        <v>334</v>
      </c>
      <c r="S3" s="7" t="s">
        <v>903</v>
      </c>
      <c r="T3" s="7" t="s">
        <v>251</v>
      </c>
      <c r="U3" s="7" t="s">
        <v>904</v>
      </c>
      <c r="V3" s="7" t="s">
        <v>251</v>
      </c>
      <c r="W3" s="7" t="s">
        <v>2777</v>
      </c>
      <c r="Y3" s="7" t="s">
        <v>905</v>
      </c>
      <c r="Z3" s="7" t="s">
        <v>336</v>
      </c>
      <c r="AF3" s="7" t="s">
        <v>337</v>
      </c>
      <c r="AH3" s="7" t="s">
        <v>338</v>
      </c>
      <c r="AJ3" s="7" t="s">
        <v>251</v>
      </c>
      <c r="AK3" s="7" t="s">
        <v>404</v>
      </c>
      <c r="AN3" s="7" t="s">
        <v>334</v>
      </c>
      <c r="AQ3" s="7" t="s">
        <v>2906</v>
      </c>
      <c r="AS3" s="7" t="s">
        <v>738</v>
      </c>
      <c r="AU3" s="7" t="s">
        <v>2913</v>
      </c>
      <c r="AW3" s="7" t="s">
        <v>749</v>
      </c>
      <c r="AZ3" s="7" t="s">
        <v>251</v>
      </c>
      <c r="BA3" s="14">
        <v>700000</v>
      </c>
      <c r="BD3" s="7" t="s">
        <v>251</v>
      </c>
      <c r="BE3" s="7" t="s">
        <v>906</v>
      </c>
      <c r="BF3" s="7" t="s">
        <v>334</v>
      </c>
      <c r="BJ3" s="7" t="s">
        <v>336</v>
      </c>
      <c r="BP3" s="7" t="s">
        <v>337</v>
      </c>
      <c r="BR3" s="7" t="s">
        <v>556</v>
      </c>
      <c r="BU3" s="7" t="s">
        <v>130</v>
      </c>
      <c r="BV3" s="7" t="s">
        <v>907</v>
      </c>
      <c r="BW3" s="7" t="s">
        <v>356</v>
      </c>
      <c r="CE3" s="14"/>
    </row>
    <row r="4" spans="1:110" ht="102" x14ac:dyDescent="0.2">
      <c r="A4" s="6" t="s">
        <v>45</v>
      </c>
      <c r="B4" s="7" t="s">
        <v>251</v>
      </c>
      <c r="C4" s="7" t="s">
        <v>331</v>
      </c>
      <c r="D4" s="7" t="s">
        <v>2777</v>
      </c>
      <c r="F4" s="7" t="s">
        <v>334</v>
      </c>
      <c r="I4" s="7" t="s">
        <v>738</v>
      </c>
      <c r="J4" s="14"/>
      <c r="K4" s="7" t="s">
        <v>2896</v>
      </c>
      <c r="M4" s="7" t="s">
        <v>749</v>
      </c>
      <c r="P4" s="7" t="s">
        <v>251</v>
      </c>
      <c r="Q4" s="14">
        <v>750000</v>
      </c>
      <c r="R4" s="7" t="s">
        <v>334</v>
      </c>
      <c r="S4" s="7" t="s">
        <v>850</v>
      </c>
      <c r="T4" s="7" t="s">
        <v>251</v>
      </c>
      <c r="U4" s="7" t="s">
        <v>851</v>
      </c>
      <c r="V4" s="7" t="s">
        <v>251</v>
      </c>
      <c r="W4" s="7" t="s">
        <v>2777</v>
      </c>
      <c r="Y4" s="7" t="s">
        <v>852</v>
      </c>
      <c r="Z4" s="7" t="s">
        <v>336</v>
      </c>
      <c r="AF4" s="7" t="s">
        <v>337</v>
      </c>
      <c r="AH4" s="7" t="s">
        <v>338</v>
      </c>
      <c r="AJ4" s="7" t="s">
        <v>251</v>
      </c>
      <c r="AK4" s="7" t="s">
        <v>404</v>
      </c>
      <c r="AN4" s="7" t="s">
        <v>334</v>
      </c>
      <c r="AQ4" s="7" t="s">
        <v>2906</v>
      </c>
      <c r="AS4" s="7" t="s">
        <v>380</v>
      </c>
      <c r="AT4" s="14"/>
      <c r="AY4" s="7" t="s">
        <v>853</v>
      </c>
      <c r="BA4" s="14"/>
      <c r="BD4" s="7" t="s">
        <v>334</v>
      </c>
      <c r="BF4" s="7" t="s">
        <v>334</v>
      </c>
      <c r="BJ4" s="7" t="s">
        <v>336</v>
      </c>
      <c r="BP4" s="7" t="s">
        <v>337</v>
      </c>
      <c r="BR4" s="7" t="s">
        <v>130</v>
      </c>
      <c r="BS4" s="7" t="s">
        <v>854</v>
      </c>
      <c r="BU4" s="7" t="s">
        <v>338</v>
      </c>
      <c r="BW4" s="7" t="s">
        <v>356</v>
      </c>
      <c r="CE4" s="14"/>
    </row>
    <row r="5" spans="1:110" ht="38.25" x14ac:dyDescent="0.2">
      <c r="A5" s="6" t="s">
        <v>18</v>
      </c>
      <c r="B5" s="7" t="s">
        <v>251</v>
      </c>
      <c r="C5" s="7" t="s">
        <v>404</v>
      </c>
      <c r="F5" s="7" t="s">
        <v>334</v>
      </c>
      <c r="I5" s="7" t="s">
        <v>738</v>
      </c>
      <c r="J5" s="14"/>
      <c r="K5" s="7" t="s">
        <v>753</v>
      </c>
      <c r="M5" s="7" t="s">
        <v>749</v>
      </c>
      <c r="P5" s="7" t="s">
        <v>251</v>
      </c>
      <c r="Q5" s="14">
        <v>300000</v>
      </c>
      <c r="T5" s="7" t="s">
        <v>251</v>
      </c>
      <c r="U5" s="7" t="s">
        <v>766</v>
      </c>
      <c r="V5" s="7" t="s">
        <v>251</v>
      </c>
      <c r="W5" s="7" t="s">
        <v>2778</v>
      </c>
      <c r="Y5" s="7" t="s">
        <v>767</v>
      </c>
      <c r="Z5" s="7" t="s">
        <v>336</v>
      </c>
      <c r="AF5" s="7" t="s">
        <v>337</v>
      </c>
      <c r="AH5" s="7" t="s">
        <v>350</v>
      </c>
      <c r="AJ5" s="7" t="s">
        <v>251</v>
      </c>
      <c r="AK5" s="7" t="s">
        <v>404</v>
      </c>
      <c r="AN5" s="7" t="s">
        <v>334</v>
      </c>
      <c r="AQ5" s="7" t="s">
        <v>2906</v>
      </c>
      <c r="AS5" s="7" t="s">
        <v>738</v>
      </c>
      <c r="AT5" s="14"/>
      <c r="AU5" s="7" t="s">
        <v>753</v>
      </c>
      <c r="AW5" s="7" t="s">
        <v>749</v>
      </c>
      <c r="AZ5" s="7" t="s">
        <v>251</v>
      </c>
      <c r="BA5" s="14">
        <v>300000</v>
      </c>
      <c r="BD5" s="7" t="s">
        <v>334</v>
      </c>
      <c r="BF5" s="7" t="s">
        <v>334</v>
      </c>
      <c r="BJ5" s="7" t="s">
        <v>336</v>
      </c>
      <c r="BP5" s="7" t="s">
        <v>337</v>
      </c>
      <c r="BR5" s="7" t="s">
        <v>556</v>
      </c>
      <c r="BU5" s="7" t="s">
        <v>350</v>
      </c>
      <c r="BW5" s="7" t="s">
        <v>356</v>
      </c>
      <c r="CE5" s="14"/>
    </row>
    <row r="6" spans="1:110" ht="114.75" x14ac:dyDescent="0.2">
      <c r="A6" s="6" t="s">
        <v>30</v>
      </c>
      <c r="B6" s="7" t="s">
        <v>251</v>
      </c>
      <c r="C6" s="7" t="s">
        <v>404</v>
      </c>
      <c r="F6" s="7" t="s">
        <v>334</v>
      </c>
      <c r="I6" s="7" t="s">
        <v>380</v>
      </c>
      <c r="J6" s="14"/>
      <c r="O6" s="7" t="s">
        <v>3375</v>
      </c>
      <c r="Q6" s="14"/>
      <c r="T6" s="7" t="s">
        <v>334</v>
      </c>
      <c r="V6" s="7" t="s">
        <v>334</v>
      </c>
      <c r="Z6" s="7" t="s">
        <v>336</v>
      </c>
      <c r="AF6" s="7" t="s">
        <v>337</v>
      </c>
      <c r="AH6" s="7" t="s">
        <v>344</v>
      </c>
      <c r="AJ6" s="7" t="s">
        <v>251</v>
      </c>
      <c r="AK6" s="7" t="s">
        <v>404</v>
      </c>
      <c r="AN6" s="7" t="s">
        <v>334</v>
      </c>
      <c r="AQ6" s="7" t="s">
        <v>2906</v>
      </c>
      <c r="AS6" s="7" t="s">
        <v>738</v>
      </c>
      <c r="AT6" s="14"/>
      <c r="AU6" s="7" t="s">
        <v>753</v>
      </c>
      <c r="AW6" s="7" t="s">
        <v>740</v>
      </c>
      <c r="AZ6" s="7" t="s">
        <v>334</v>
      </c>
      <c r="BA6" s="14"/>
      <c r="BD6" s="7" t="s">
        <v>334</v>
      </c>
      <c r="BF6" s="7" t="s">
        <v>334</v>
      </c>
      <c r="BJ6" s="7" t="s">
        <v>336</v>
      </c>
      <c r="BP6" s="7" t="s">
        <v>337</v>
      </c>
      <c r="BR6" s="7" t="s">
        <v>556</v>
      </c>
      <c r="BU6" s="7" t="s">
        <v>344</v>
      </c>
      <c r="BW6" s="7" t="s">
        <v>356</v>
      </c>
      <c r="CE6" s="14"/>
    </row>
    <row r="7" spans="1:110" x14ac:dyDescent="0.2">
      <c r="A7" s="6" t="s">
        <v>66</v>
      </c>
      <c r="B7" s="7" t="s">
        <v>251</v>
      </c>
      <c r="C7" s="7" t="s">
        <v>404</v>
      </c>
      <c r="F7" s="7" t="s">
        <v>334</v>
      </c>
      <c r="I7" s="7" t="s">
        <v>738</v>
      </c>
      <c r="K7" s="7" t="s">
        <v>2899</v>
      </c>
      <c r="M7" s="7" t="s">
        <v>749</v>
      </c>
      <c r="P7" s="7" t="s">
        <v>251</v>
      </c>
      <c r="Q7" s="14">
        <v>1000000</v>
      </c>
      <c r="T7" s="7" t="s">
        <v>334</v>
      </c>
      <c r="V7" s="7" t="s">
        <v>334</v>
      </c>
      <c r="Z7" s="7" t="s">
        <v>336</v>
      </c>
      <c r="AF7" s="7" t="s">
        <v>337</v>
      </c>
      <c r="AH7" s="7" t="s">
        <v>338</v>
      </c>
      <c r="AJ7" s="7" t="s">
        <v>334</v>
      </c>
      <c r="BA7" s="14"/>
      <c r="BD7" s="7" t="s">
        <v>334</v>
      </c>
      <c r="BF7" s="7" t="s">
        <v>334</v>
      </c>
      <c r="BW7" s="7" t="s">
        <v>356</v>
      </c>
      <c r="CE7" s="14"/>
    </row>
    <row r="8" spans="1:110" ht="102" x14ac:dyDescent="0.2">
      <c r="A8" s="6" t="s">
        <v>34</v>
      </c>
      <c r="B8" s="7" t="s">
        <v>251</v>
      </c>
      <c r="C8" s="7" t="s">
        <v>404</v>
      </c>
      <c r="F8" s="7" t="s">
        <v>334</v>
      </c>
      <c r="I8" s="7" t="s">
        <v>380</v>
      </c>
      <c r="J8" s="14"/>
      <c r="O8" s="7" t="s">
        <v>812</v>
      </c>
      <c r="Q8" s="14"/>
      <c r="T8" s="7" t="s">
        <v>334</v>
      </c>
      <c r="V8" s="7" t="s">
        <v>251</v>
      </c>
      <c r="W8" s="7" t="s">
        <v>2777</v>
      </c>
      <c r="Y8" s="7" t="s">
        <v>813</v>
      </c>
      <c r="Z8" s="7" t="s">
        <v>336</v>
      </c>
      <c r="AF8" s="7" t="s">
        <v>337</v>
      </c>
      <c r="AH8" s="7" t="s">
        <v>344</v>
      </c>
      <c r="AJ8" s="7" t="s">
        <v>251</v>
      </c>
      <c r="AK8" s="7" t="s">
        <v>404</v>
      </c>
      <c r="AN8" s="7" t="s">
        <v>334</v>
      </c>
      <c r="AQ8" s="7" t="s">
        <v>2906</v>
      </c>
      <c r="AS8" s="7" t="s">
        <v>380</v>
      </c>
      <c r="AT8" s="14"/>
      <c r="AY8" s="7" t="s">
        <v>812</v>
      </c>
      <c r="BA8" s="14"/>
      <c r="BD8" s="7" t="s">
        <v>251</v>
      </c>
      <c r="BE8" s="7" t="s">
        <v>814</v>
      </c>
      <c r="BF8" s="7" t="s">
        <v>334</v>
      </c>
      <c r="BJ8" s="7" t="s">
        <v>336</v>
      </c>
      <c r="BP8" s="7" t="s">
        <v>337</v>
      </c>
      <c r="BR8" s="7" t="s">
        <v>556</v>
      </c>
      <c r="BU8" s="7" t="s">
        <v>344</v>
      </c>
      <c r="BW8" s="7" t="s">
        <v>356</v>
      </c>
      <c r="CE8" s="14"/>
    </row>
    <row r="9" spans="1:110" ht="51" x14ac:dyDescent="0.2">
      <c r="A9" s="6" t="s">
        <v>31</v>
      </c>
      <c r="B9" s="7" t="s">
        <v>251</v>
      </c>
      <c r="C9" s="7" t="s">
        <v>404</v>
      </c>
      <c r="F9" s="7" t="s">
        <v>334</v>
      </c>
      <c r="I9" s="7" t="s">
        <v>738</v>
      </c>
      <c r="J9" s="14"/>
      <c r="K9" s="7" t="s">
        <v>2898</v>
      </c>
      <c r="M9" s="7" t="s">
        <v>130</v>
      </c>
      <c r="N9" s="7" t="s">
        <v>799</v>
      </c>
      <c r="P9" s="7" t="s">
        <v>251</v>
      </c>
      <c r="Q9" s="14">
        <v>1700000</v>
      </c>
      <c r="T9" s="7" t="s">
        <v>251</v>
      </c>
      <c r="U9" s="7" t="s">
        <v>800</v>
      </c>
      <c r="V9" s="7" t="s">
        <v>251</v>
      </c>
      <c r="W9" s="7" t="s">
        <v>2777</v>
      </c>
      <c r="Y9" s="7" t="s">
        <v>801</v>
      </c>
      <c r="Z9" s="7" t="s">
        <v>336</v>
      </c>
      <c r="AF9" s="7" t="s">
        <v>337</v>
      </c>
      <c r="AH9" s="7" t="s">
        <v>350</v>
      </c>
      <c r="AJ9" s="7" t="s">
        <v>251</v>
      </c>
      <c r="AK9" s="7" t="s">
        <v>404</v>
      </c>
      <c r="AN9" s="7" t="s">
        <v>334</v>
      </c>
      <c r="AQ9" s="7" t="s">
        <v>2906</v>
      </c>
      <c r="AS9" s="7" t="s">
        <v>738</v>
      </c>
      <c r="AT9" s="14"/>
      <c r="AU9" s="7" t="s">
        <v>2898</v>
      </c>
      <c r="AW9" s="7" t="s">
        <v>130</v>
      </c>
      <c r="AX9" s="7" t="s">
        <v>799</v>
      </c>
      <c r="AZ9" s="7" t="s">
        <v>251</v>
      </c>
      <c r="BA9" s="14">
        <v>1700000</v>
      </c>
      <c r="BD9" s="7" t="s">
        <v>251</v>
      </c>
      <c r="BE9" s="7" t="s">
        <v>802</v>
      </c>
      <c r="BF9" s="7" t="s">
        <v>251</v>
      </c>
      <c r="BG9" s="7" t="s">
        <v>2777</v>
      </c>
      <c r="BI9" s="7" t="s">
        <v>803</v>
      </c>
      <c r="BJ9" s="7" t="s">
        <v>336</v>
      </c>
      <c r="BP9" s="7" t="s">
        <v>337</v>
      </c>
      <c r="BR9" s="7" t="s">
        <v>556</v>
      </c>
      <c r="BU9" s="7" t="s">
        <v>130</v>
      </c>
      <c r="BV9" s="7" t="s">
        <v>804</v>
      </c>
      <c r="BW9" s="7" t="s">
        <v>356</v>
      </c>
      <c r="CE9" s="14"/>
    </row>
    <row r="10" spans="1:110" ht="25.5" x14ac:dyDescent="0.2">
      <c r="A10" s="6" t="s">
        <v>46</v>
      </c>
      <c r="B10" s="7" t="s">
        <v>251</v>
      </c>
      <c r="C10" s="7" t="s">
        <v>404</v>
      </c>
      <c r="F10" s="7" t="s">
        <v>334</v>
      </c>
      <c r="I10" s="7" t="s">
        <v>396</v>
      </c>
      <c r="J10" s="14">
        <v>2000000</v>
      </c>
      <c r="Q10" s="14"/>
      <c r="T10" s="7" t="s">
        <v>334</v>
      </c>
      <c r="V10" s="7" t="s">
        <v>334</v>
      </c>
      <c r="Z10" s="7" t="s">
        <v>336</v>
      </c>
      <c r="AF10" s="7" t="s">
        <v>343</v>
      </c>
      <c r="AJ10" s="7" t="s">
        <v>251</v>
      </c>
      <c r="AK10" s="7" t="s">
        <v>404</v>
      </c>
      <c r="AN10" s="7" t="s">
        <v>334</v>
      </c>
      <c r="AQ10" s="7" t="s">
        <v>2908</v>
      </c>
      <c r="AS10" s="7" t="s">
        <v>396</v>
      </c>
      <c r="AT10" s="14">
        <v>611000</v>
      </c>
      <c r="BA10" s="14"/>
      <c r="BD10" s="7" t="s">
        <v>334</v>
      </c>
      <c r="BF10" s="7" t="s">
        <v>334</v>
      </c>
      <c r="BJ10" s="7" t="s">
        <v>336</v>
      </c>
      <c r="BP10" s="7" t="s">
        <v>343</v>
      </c>
      <c r="BW10" s="7" t="s">
        <v>356</v>
      </c>
      <c r="CE10" s="14"/>
    </row>
    <row r="11" spans="1:110" ht="38.25" x14ac:dyDescent="0.2">
      <c r="A11" s="6" t="s">
        <v>42</v>
      </c>
      <c r="B11" s="7" t="s">
        <v>251</v>
      </c>
      <c r="C11" s="7" t="s">
        <v>331</v>
      </c>
      <c r="D11" s="7" t="s">
        <v>2777</v>
      </c>
      <c r="F11" s="7" t="s">
        <v>334</v>
      </c>
      <c r="I11" s="7" t="s">
        <v>738</v>
      </c>
      <c r="J11" s="14"/>
      <c r="K11" s="7" t="s">
        <v>753</v>
      </c>
      <c r="M11" s="7" t="s">
        <v>749</v>
      </c>
      <c r="P11" s="7" t="s">
        <v>251</v>
      </c>
      <c r="Q11" s="14">
        <v>750000</v>
      </c>
      <c r="R11" s="7" t="s">
        <v>334</v>
      </c>
      <c r="S11" s="7" t="s">
        <v>839</v>
      </c>
      <c r="T11" s="7" t="s">
        <v>251</v>
      </c>
      <c r="U11" s="7" t="s">
        <v>840</v>
      </c>
      <c r="V11" s="7" t="s">
        <v>251</v>
      </c>
      <c r="W11" s="7" t="s">
        <v>2904</v>
      </c>
      <c r="Y11" s="7" t="s">
        <v>841</v>
      </c>
      <c r="Z11" s="7" t="s">
        <v>336</v>
      </c>
      <c r="AF11" s="7" t="s">
        <v>337</v>
      </c>
      <c r="AH11" s="7" t="s">
        <v>338</v>
      </c>
      <c r="AJ11" s="7" t="s">
        <v>251</v>
      </c>
      <c r="AK11" s="7" t="s">
        <v>331</v>
      </c>
      <c r="AL11" s="7" t="s">
        <v>2777</v>
      </c>
      <c r="AN11" s="7" t="s">
        <v>334</v>
      </c>
      <c r="AQ11" s="7" t="s">
        <v>2906</v>
      </c>
      <c r="AS11" s="7" t="s">
        <v>738</v>
      </c>
      <c r="AT11" s="14"/>
      <c r="AU11" s="7" t="s">
        <v>753</v>
      </c>
      <c r="AW11" s="7" t="s">
        <v>749</v>
      </c>
      <c r="AZ11" s="7" t="s">
        <v>251</v>
      </c>
      <c r="BA11" s="14">
        <v>750000</v>
      </c>
      <c r="BB11" s="7" t="s">
        <v>334</v>
      </c>
      <c r="BC11" s="7" t="s">
        <v>842</v>
      </c>
      <c r="BD11" s="7" t="s">
        <v>334</v>
      </c>
      <c r="BF11" s="7" t="s">
        <v>334</v>
      </c>
      <c r="BJ11" s="7" t="s">
        <v>336</v>
      </c>
      <c r="BP11" s="7" t="s">
        <v>337</v>
      </c>
      <c r="BR11" s="7" t="s">
        <v>556</v>
      </c>
      <c r="BU11" s="7" t="s">
        <v>338</v>
      </c>
      <c r="BW11" s="7" t="s">
        <v>356</v>
      </c>
      <c r="CE11" s="14"/>
    </row>
    <row r="12" spans="1:110" ht="38.25" x14ac:dyDescent="0.2">
      <c r="A12" s="6" t="s">
        <v>33</v>
      </c>
      <c r="B12" s="7" t="s">
        <v>251</v>
      </c>
      <c r="C12" s="7" t="s">
        <v>331</v>
      </c>
      <c r="D12" s="7" t="s">
        <v>2777</v>
      </c>
      <c r="F12" s="7" t="s">
        <v>334</v>
      </c>
      <c r="I12" s="7" t="s">
        <v>738</v>
      </c>
      <c r="J12" s="14"/>
      <c r="K12" s="7" t="s">
        <v>753</v>
      </c>
      <c r="M12" s="7" t="s">
        <v>749</v>
      </c>
      <c r="P12" s="7" t="s">
        <v>251</v>
      </c>
      <c r="Q12" s="14">
        <v>1700000</v>
      </c>
      <c r="R12" s="7" t="s">
        <v>334</v>
      </c>
      <c r="S12" s="7" t="s">
        <v>809</v>
      </c>
      <c r="T12" s="7" t="s">
        <v>251</v>
      </c>
      <c r="U12" s="7" t="s">
        <v>810</v>
      </c>
      <c r="V12" s="7" t="s">
        <v>251</v>
      </c>
      <c r="W12" s="7" t="s">
        <v>2777</v>
      </c>
      <c r="Y12" s="7" t="s">
        <v>811</v>
      </c>
      <c r="Z12" s="7" t="s">
        <v>340</v>
      </c>
      <c r="AA12" s="7" t="s">
        <v>341</v>
      </c>
      <c r="AF12" s="7" t="s">
        <v>337</v>
      </c>
      <c r="AH12" s="7" t="s">
        <v>350</v>
      </c>
      <c r="AJ12" s="7" t="s">
        <v>334</v>
      </c>
      <c r="AT12" s="14"/>
      <c r="BA12" s="14"/>
      <c r="BD12" s="7" t="s">
        <v>334</v>
      </c>
      <c r="BF12" s="7" t="s">
        <v>334</v>
      </c>
      <c r="BW12" s="7" t="s">
        <v>356</v>
      </c>
      <c r="CE12" s="14"/>
    </row>
    <row r="13" spans="1:110" ht="38.25" x14ac:dyDescent="0.2">
      <c r="A13" s="6" t="s">
        <v>55</v>
      </c>
      <c r="B13" s="7" t="s">
        <v>251</v>
      </c>
      <c r="C13" s="7" t="s">
        <v>331</v>
      </c>
      <c r="D13" s="7" t="s">
        <v>2777</v>
      </c>
      <c r="F13" s="7" t="s">
        <v>334</v>
      </c>
      <c r="I13" s="7" t="s">
        <v>738</v>
      </c>
      <c r="K13" s="7" t="s">
        <v>753</v>
      </c>
      <c r="M13" s="7" t="s">
        <v>130</v>
      </c>
      <c r="N13" s="7" t="s">
        <v>799</v>
      </c>
      <c r="P13" s="7" t="s">
        <v>251</v>
      </c>
      <c r="Q13" s="14">
        <v>1000000</v>
      </c>
      <c r="R13" s="7" t="s">
        <v>334</v>
      </c>
      <c r="S13" s="7" t="s">
        <v>880</v>
      </c>
      <c r="T13" s="7" t="s">
        <v>251</v>
      </c>
      <c r="U13" s="7" t="s">
        <v>881</v>
      </c>
      <c r="V13" s="7" t="s">
        <v>251</v>
      </c>
      <c r="W13" s="7" t="s">
        <v>2904</v>
      </c>
      <c r="Y13" s="7" t="s">
        <v>882</v>
      </c>
      <c r="Z13" s="7" t="s">
        <v>336</v>
      </c>
      <c r="AF13" s="7" t="s">
        <v>337</v>
      </c>
      <c r="AH13" s="7" t="s">
        <v>350</v>
      </c>
      <c r="AJ13" s="7" t="s">
        <v>251</v>
      </c>
      <c r="AK13" s="7" t="s">
        <v>404</v>
      </c>
      <c r="AN13" s="7" t="s">
        <v>334</v>
      </c>
      <c r="AQ13" s="7" t="s">
        <v>2906</v>
      </c>
      <c r="AS13" s="7" t="s">
        <v>738</v>
      </c>
      <c r="AU13" s="7" t="s">
        <v>753</v>
      </c>
      <c r="AW13" s="7" t="s">
        <v>130</v>
      </c>
      <c r="AX13" s="7" t="s">
        <v>799</v>
      </c>
      <c r="AZ13" s="7" t="s">
        <v>251</v>
      </c>
      <c r="BA13" s="14">
        <v>1000000</v>
      </c>
      <c r="BD13" s="7" t="s">
        <v>334</v>
      </c>
      <c r="BF13" s="7" t="s">
        <v>334</v>
      </c>
      <c r="BJ13" s="7" t="s">
        <v>336</v>
      </c>
      <c r="BP13" s="7" t="s">
        <v>337</v>
      </c>
      <c r="BR13" s="7" t="s">
        <v>756</v>
      </c>
      <c r="BU13" s="7" t="s">
        <v>350</v>
      </c>
      <c r="BW13" s="7" t="s">
        <v>356</v>
      </c>
      <c r="CE13" s="14"/>
    </row>
    <row r="14" spans="1:110" ht="38.25" x14ac:dyDescent="0.2">
      <c r="A14" s="6" t="s">
        <v>48</v>
      </c>
      <c r="B14" s="7" t="s">
        <v>251</v>
      </c>
      <c r="C14" s="7" t="s">
        <v>331</v>
      </c>
      <c r="D14" s="7" t="s">
        <v>2778</v>
      </c>
      <c r="F14" s="7" t="s">
        <v>334</v>
      </c>
      <c r="I14" s="7" t="s">
        <v>738</v>
      </c>
      <c r="K14" s="7" t="s">
        <v>753</v>
      </c>
      <c r="M14" s="7" t="s">
        <v>740</v>
      </c>
      <c r="P14" s="7" t="s">
        <v>334</v>
      </c>
      <c r="Q14" s="14"/>
      <c r="R14" s="7" t="s">
        <v>334</v>
      </c>
      <c r="S14" s="7" t="s">
        <v>857</v>
      </c>
      <c r="T14" s="7" t="s">
        <v>334</v>
      </c>
      <c r="V14" s="7" t="s">
        <v>334</v>
      </c>
      <c r="Z14" s="7" t="s">
        <v>336</v>
      </c>
      <c r="AF14" s="7" t="s">
        <v>337</v>
      </c>
      <c r="AH14" s="7" t="s">
        <v>130</v>
      </c>
      <c r="AI14" s="7" t="s">
        <v>410</v>
      </c>
      <c r="AJ14" s="7" t="s">
        <v>251</v>
      </c>
      <c r="AK14" s="7" t="s">
        <v>404</v>
      </c>
      <c r="AN14" s="7" t="s">
        <v>334</v>
      </c>
      <c r="AQ14" s="7" t="s">
        <v>2910</v>
      </c>
      <c r="AR14" s="7" t="s">
        <v>858</v>
      </c>
      <c r="AS14" s="7" t="s">
        <v>738</v>
      </c>
      <c r="AU14" s="7" t="s">
        <v>753</v>
      </c>
      <c r="AW14" s="7" t="s">
        <v>740</v>
      </c>
      <c r="AZ14" s="7" t="s">
        <v>334</v>
      </c>
      <c r="BA14" s="14"/>
      <c r="BD14" s="7" t="s">
        <v>334</v>
      </c>
      <c r="BF14" s="7" t="s">
        <v>334</v>
      </c>
      <c r="BJ14" s="7" t="s">
        <v>336</v>
      </c>
      <c r="BP14" s="7" t="s">
        <v>337</v>
      </c>
      <c r="BR14" s="7" t="s">
        <v>556</v>
      </c>
      <c r="BU14" s="7" t="s">
        <v>130</v>
      </c>
      <c r="BV14" s="7" t="s">
        <v>410</v>
      </c>
      <c r="BW14" s="7" t="s">
        <v>764</v>
      </c>
      <c r="BX14" s="7" t="s">
        <v>404</v>
      </c>
      <c r="CA14" s="7" t="s">
        <v>358</v>
      </c>
      <c r="CB14" s="7">
        <v>90</v>
      </c>
      <c r="CD14" s="7" t="s">
        <v>396</v>
      </c>
      <c r="CE14" s="14">
        <v>50000</v>
      </c>
      <c r="CT14" s="7" t="s">
        <v>336</v>
      </c>
      <c r="CZ14" s="7" t="s">
        <v>337</v>
      </c>
      <c r="DB14" s="7" t="s">
        <v>556</v>
      </c>
      <c r="DE14" s="7" t="s">
        <v>130</v>
      </c>
      <c r="DF14" s="7" t="s">
        <v>410</v>
      </c>
    </row>
    <row r="15" spans="1:110" ht="38.25" x14ac:dyDescent="0.2">
      <c r="A15" s="6" t="s">
        <v>57</v>
      </c>
      <c r="B15" s="7" t="s">
        <v>251</v>
      </c>
      <c r="C15" s="7" t="s">
        <v>404</v>
      </c>
      <c r="F15" s="7" t="s">
        <v>334</v>
      </c>
      <c r="I15" s="7" t="s">
        <v>738</v>
      </c>
      <c r="K15" s="7" t="s">
        <v>2898</v>
      </c>
      <c r="M15" s="7" t="s">
        <v>749</v>
      </c>
      <c r="P15" s="7" t="s">
        <v>251</v>
      </c>
      <c r="Q15" s="14">
        <v>500000</v>
      </c>
      <c r="T15" s="7" t="s">
        <v>334</v>
      </c>
      <c r="V15" s="7" t="s">
        <v>251</v>
      </c>
      <c r="W15" s="7" t="s">
        <v>2777</v>
      </c>
      <c r="Y15" s="7" t="s">
        <v>886</v>
      </c>
      <c r="Z15" s="7" t="s">
        <v>336</v>
      </c>
      <c r="AF15" s="7" t="s">
        <v>337</v>
      </c>
      <c r="AH15" s="7" t="s">
        <v>344</v>
      </c>
      <c r="AJ15" s="7" t="s">
        <v>251</v>
      </c>
      <c r="AK15" s="7" t="s">
        <v>404</v>
      </c>
      <c r="AN15" s="7" t="s">
        <v>334</v>
      </c>
      <c r="AQ15" s="7" t="s">
        <v>2906</v>
      </c>
      <c r="AS15" s="7" t="s">
        <v>738</v>
      </c>
      <c r="AU15" s="7" t="s">
        <v>2898</v>
      </c>
      <c r="AW15" s="7" t="s">
        <v>749</v>
      </c>
      <c r="AZ15" s="7" t="s">
        <v>251</v>
      </c>
      <c r="BA15" s="14">
        <v>500000</v>
      </c>
      <c r="BD15" s="7" t="s">
        <v>334</v>
      </c>
      <c r="BF15" s="7" t="s">
        <v>334</v>
      </c>
      <c r="BJ15" s="7" t="s">
        <v>336</v>
      </c>
      <c r="BP15" s="7" t="s">
        <v>337</v>
      </c>
      <c r="BR15" s="7" t="s">
        <v>756</v>
      </c>
      <c r="BU15" s="7" t="s">
        <v>344</v>
      </c>
      <c r="BW15" s="7" t="s">
        <v>356</v>
      </c>
      <c r="CE15" s="14"/>
    </row>
    <row r="16" spans="1:110" ht="38.25" x14ac:dyDescent="0.2">
      <c r="A16" s="6" t="s">
        <v>54</v>
      </c>
      <c r="B16" s="7" t="s">
        <v>251</v>
      </c>
      <c r="C16" s="7" t="s">
        <v>331</v>
      </c>
      <c r="D16" s="7" t="s">
        <v>2777</v>
      </c>
      <c r="F16" s="7" t="s">
        <v>334</v>
      </c>
      <c r="I16" s="7" t="s">
        <v>738</v>
      </c>
      <c r="K16" s="7" t="s">
        <v>2898</v>
      </c>
      <c r="M16" s="7" t="s">
        <v>749</v>
      </c>
      <c r="P16" s="7" t="s">
        <v>251</v>
      </c>
      <c r="Q16" s="14">
        <v>1000000</v>
      </c>
      <c r="R16" s="7" t="s">
        <v>334</v>
      </c>
      <c r="S16" s="7" t="s">
        <v>879</v>
      </c>
      <c r="T16" s="7" t="s">
        <v>334</v>
      </c>
      <c r="V16" s="7" t="s">
        <v>334</v>
      </c>
      <c r="Z16" s="7" t="s">
        <v>336</v>
      </c>
      <c r="AF16" s="7" t="s">
        <v>337</v>
      </c>
      <c r="AH16" s="7" t="s">
        <v>350</v>
      </c>
      <c r="AJ16" s="7" t="s">
        <v>251</v>
      </c>
      <c r="AK16" s="7" t="s">
        <v>404</v>
      </c>
      <c r="AN16" s="7" t="s">
        <v>334</v>
      </c>
      <c r="AQ16" s="7" t="s">
        <v>2906</v>
      </c>
      <c r="AS16" s="7" t="s">
        <v>738</v>
      </c>
      <c r="AU16" s="7" t="s">
        <v>2898</v>
      </c>
      <c r="AW16" s="7" t="s">
        <v>749</v>
      </c>
      <c r="AZ16" s="7" t="s">
        <v>251</v>
      </c>
      <c r="BA16" s="14">
        <v>1000000</v>
      </c>
      <c r="BD16" s="7" t="s">
        <v>334</v>
      </c>
      <c r="BF16" s="7" t="s">
        <v>334</v>
      </c>
      <c r="BJ16" s="7" t="s">
        <v>336</v>
      </c>
      <c r="BP16" s="7" t="s">
        <v>337</v>
      </c>
      <c r="BR16" s="7" t="s">
        <v>756</v>
      </c>
      <c r="BU16" s="7" t="s">
        <v>350</v>
      </c>
      <c r="BW16" s="7" t="s">
        <v>764</v>
      </c>
      <c r="BX16" s="7" t="s">
        <v>404</v>
      </c>
      <c r="CA16" s="7" t="s">
        <v>334</v>
      </c>
      <c r="CD16" s="7" t="s">
        <v>396</v>
      </c>
      <c r="CE16" s="14">
        <v>25000</v>
      </c>
      <c r="CT16" s="7" t="s">
        <v>336</v>
      </c>
      <c r="CZ16" s="7" t="s">
        <v>337</v>
      </c>
      <c r="DB16" s="7" t="s">
        <v>756</v>
      </c>
      <c r="DE16" s="7" t="s">
        <v>350</v>
      </c>
    </row>
    <row r="17" spans="1:109" ht="102" x14ac:dyDescent="0.2">
      <c r="A17" s="6" t="s">
        <v>23</v>
      </c>
      <c r="B17" s="7" t="s">
        <v>251</v>
      </c>
      <c r="C17" s="7" t="s">
        <v>331</v>
      </c>
      <c r="D17" s="7" t="s">
        <v>2777</v>
      </c>
      <c r="F17" s="7" t="s">
        <v>334</v>
      </c>
      <c r="I17" s="7" t="s">
        <v>738</v>
      </c>
      <c r="J17" s="14"/>
      <c r="K17" s="7" t="s">
        <v>753</v>
      </c>
      <c r="M17" s="7" t="s">
        <v>749</v>
      </c>
      <c r="P17" s="7" t="s">
        <v>251</v>
      </c>
      <c r="Q17" s="14"/>
      <c r="R17" s="7" t="s">
        <v>334</v>
      </c>
      <c r="S17" s="7" t="s">
        <v>780</v>
      </c>
      <c r="T17" s="7" t="s">
        <v>251</v>
      </c>
      <c r="U17" s="7" t="s">
        <v>781</v>
      </c>
      <c r="V17" s="7" t="s">
        <v>251</v>
      </c>
      <c r="W17" s="7" t="s">
        <v>2904</v>
      </c>
      <c r="Y17" s="7" t="s">
        <v>782</v>
      </c>
      <c r="Z17" s="7" t="s">
        <v>336</v>
      </c>
      <c r="AF17" s="7" t="s">
        <v>337</v>
      </c>
      <c r="AH17" s="7" t="s">
        <v>344</v>
      </c>
      <c r="AJ17" s="7" t="s">
        <v>251</v>
      </c>
      <c r="AK17" s="7" t="s">
        <v>404</v>
      </c>
      <c r="AN17" s="7" t="s">
        <v>334</v>
      </c>
      <c r="AQ17" s="7" t="s">
        <v>2907</v>
      </c>
      <c r="AS17" s="7" t="s">
        <v>738</v>
      </c>
      <c r="AT17" s="14"/>
      <c r="AU17" s="7" t="s">
        <v>753</v>
      </c>
      <c r="AW17" s="7" t="s">
        <v>749</v>
      </c>
      <c r="AZ17" s="7" t="s">
        <v>251</v>
      </c>
      <c r="BA17" s="14"/>
      <c r="BD17" s="7" t="s">
        <v>334</v>
      </c>
      <c r="BF17" s="7" t="s">
        <v>334</v>
      </c>
      <c r="BJ17" s="7" t="s">
        <v>336</v>
      </c>
      <c r="BP17" s="7" t="s">
        <v>337</v>
      </c>
      <c r="BR17" s="7" t="s">
        <v>756</v>
      </c>
      <c r="BU17" s="7" t="s">
        <v>344</v>
      </c>
      <c r="BW17" s="7" t="s">
        <v>745</v>
      </c>
      <c r="CE17" s="14"/>
      <c r="CO17" s="7" t="s">
        <v>783</v>
      </c>
      <c r="CP17" s="7" t="s">
        <v>251</v>
      </c>
      <c r="CQ17" s="7" t="s">
        <v>2777</v>
      </c>
      <c r="CS17" s="7" t="s">
        <v>784</v>
      </c>
      <c r="CZ17" s="7" t="s">
        <v>343</v>
      </c>
      <c r="DE17" s="7" t="s">
        <v>344</v>
      </c>
    </row>
    <row r="18" spans="1:109" ht="38.25" x14ac:dyDescent="0.2">
      <c r="A18" s="6" t="s">
        <v>27</v>
      </c>
      <c r="B18" s="7" t="s">
        <v>251</v>
      </c>
      <c r="C18" s="7" t="s">
        <v>331</v>
      </c>
      <c r="D18" s="7" t="s">
        <v>2777</v>
      </c>
      <c r="F18" s="7" t="s">
        <v>334</v>
      </c>
      <c r="I18" s="7" t="s">
        <v>738</v>
      </c>
      <c r="J18" s="14"/>
      <c r="K18" s="7" t="s">
        <v>2898</v>
      </c>
      <c r="M18" s="7" t="s">
        <v>749</v>
      </c>
      <c r="P18" s="7" t="s">
        <v>251</v>
      </c>
      <c r="Q18" s="14">
        <v>500000</v>
      </c>
      <c r="R18" s="7" t="s">
        <v>334</v>
      </c>
      <c r="S18" s="7" t="s">
        <v>789</v>
      </c>
      <c r="T18" s="7" t="s">
        <v>334</v>
      </c>
      <c r="V18" s="7" t="s">
        <v>334</v>
      </c>
      <c r="Z18" s="7" t="s">
        <v>336</v>
      </c>
      <c r="AF18" s="7" t="s">
        <v>337</v>
      </c>
      <c r="AH18" s="7" t="s">
        <v>338</v>
      </c>
      <c r="AJ18" s="7" t="s">
        <v>251</v>
      </c>
      <c r="AK18" s="7" t="s">
        <v>404</v>
      </c>
      <c r="AN18" s="7" t="s">
        <v>334</v>
      </c>
      <c r="AQ18" s="7" t="s">
        <v>2906</v>
      </c>
      <c r="AS18" s="7" t="s">
        <v>738</v>
      </c>
      <c r="AT18" s="14"/>
      <c r="AU18" s="7" t="s">
        <v>2898</v>
      </c>
      <c r="AW18" s="7" t="s">
        <v>130</v>
      </c>
      <c r="AX18" s="7" t="s">
        <v>790</v>
      </c>
      <c r="AZ18" s="7" t="s">
        <v>334</v>
      </c>
      <c r="BA18" s="14"/>
      <c r="BD18" s="7" t="s">
        <v>334</v>
      </c>
      <c r="BF18" s="7" t="s">
        <v>334</v>
      </c>
      <c r="BJ18" s="7" t="s">
        <v>336</v>
      </c>
      <c r="BP18" s="7" t="s">
        <v>337</v>
      </c>
      <c r="BR18" s="7" t="s">
        <v>756</v>
      </c>
      <c r="BU18" s="7" t="s">
        <v>338</v>
      </c>
      <c r="BW18" s="7" t="s">
        <v>356</v>
      </c>
      <c r="CE18" s="14"/>
    </row>
    <row r="19" spans="1:109" ht="25.5" x14ac:dyDescent="0.2">
      <c r="A19" s="6" t="s">
        <v>63</v>
      </c>
      <c r="B19" s="7" t="s">
        <v>251</v>
      </c>
      <c r="C19" s="7" t="s">
        <v>331</v>
      </c>
      <c r="D19" s="7" t="s">
        <v>2777</v>
      </c>
      <c r="F19" s="7" t="s">
        <v>334</v>
      </c>
      <c r="I19" s="7" t="s">
        <v>738</v>
      </c>
      <c r="K19" s="7" t="s">
        <v>753</v>
      </c>
      <c r="M19" s="7" t="s">
        <v>130</v>
      </c>
      <c r="N19" s="7" t="s">
        <v>799</v>
      </c>
      <c r="P19" s="7" t="s">
        <v>251</v>
      </c>
      <c r="Q19" s="14">
        <v>250000</v>
      </c>
      <c r="R19" s="7" t="s">
        <v>334</v>
      </c>
      <c r="S19" s="7" t="s">
        <v>896</v>
      </c>
      <c r="T19" s="7" t="s">
        <v>334</v>
      </c>
      <c r="V19" s="7" t="s">
        <v>334</v>
      </c>
      <c r="Z19" s="7" t="s">
        <v>336</v>
      </c>
      <c r="AF19" s="7" t="s">
        <v>337</v>
      </c>
      <c r="AH19" s="7" t="s">
        <v>386</v>
      </c>
      <c r="AJ19" s="7" t="s">
        <v>251</v>
      </c>
      <c r="AK19" s="7" t="s">
        <v>404</v>
      </c>
      <c r="AN19" s="7" t="s">
        <v>334</v>
      </c>
      <c r="AQ19" s="7" t="s">
        <v>2907</v>
      </c>
      <c r="AS19" s="7" t="s">
        <v>738</v>
      </c>
      <c r="AU19" s="7" t="s">
        <v>753</v>
      </c>
      <c r="AW19" s="7" t="s">
        <v>130</v>
      </c>
      <c r="AX19" s="7" t="s">
        <v>799</v>
      </c>
      <c r="AZ19" s="7" t="s">
        <v>251</v>
      </c>
      <c r="BA19" s="14">
        <v>250000</v>
      </c>
      <c r="BD19" s="7" t="s">
        <v>334</v>
      </c>
      <c r="BF19" s="7" t="s">
        <v>334</v>
      </c>
      <c r="BJ19" s="7" t="s">
        <v>336</v>
      </c>
      <c r="BP19" s="7" t="s">
        <v>337</v>
      </c>
      <c r="BR19" s="7" t="s">
        <v>130</v>
      </c>
      <c r="BS19" s="7" t="s">
        <v>897</v>
      </c>
      <c r="BU19" s="7" t="s">
        <v>386</v>
      </c>
      <c r="BW19" s="7" t="s">
        <v>356</v>
      </c>
      <c r="CE19" s="14"/>
    </row>
    <row r="20" spans="1:109" ht="38.25" x14ac:dyDescent="0.2">
      <c r="A20" s="6" t="s">
        <v>25</v>
      </c>
      <c r="B20" s="7" t="s">
        <v>251</v>
      </c>
      <c r="C20" s="7" t="s">
        <v>404</v>
      </c>
      <c r="F20" s="7" t="s">
        <v>334</v>
      </c>
      <c r="I20" s="7" t="s">
        <v>738</v>
      </c>
      <c r="J20" s="14"/>
      <c r="K20" s="7" t="s">
        <v>2898</v>
      </c>
      <c r="M20" s="7" t="s">
        <v>749</v>
      </c>
      <c r="P20" s="7" t="s">
        <v>251</v>
      </c>
      <c r="Q20" s="14">
        <v>300000</v>
      </c>
      <c r="T20" s="7" t="s">
        <v>334</v>
      </c>
      <c r="V20" s="7" t="s">
        <v>251</v>
      </c>
      <c r="W20" s="7" t="s">
        <v>2777</v>
      </c>
      <c r="Y20" s="7" t="s">
        <v>786</v>
      </c>
      <c r="Z20" s="7" t="s">
        <v>336</v>
      </c>
      <c r="AF20" s="7" t="s">
        <v>337</v>
      </c>
      <c r="AH20" s="7" t="s">
        <v>338</v>
      </c>
      <c r="AJ20" s="7" t="s">
        <v>251</v>
      </c>
      <c r="AK20" s="7" t="s">
        <v>404</v>
      </c>
      <c r="AN20" s="7" t="s">
        <v>334</v>
      </c>
      <c r="AQ20" s="7" t="s">
        <v>2906</v>
      </c>
      <c r="AS20" s="7" t="s">
        <v>738</v>
      </c>
      <c r="AT20" s="14"/>
      <c r="AU20" s="7" t="s">
        <v>2898</v>
      </c>
      <c r="AW20" s="7" t="s">
        <v>749</v>
      </c>
      <c r="AZ20" s="7" t="s">
        <v>251</v>
      </c>
      <c r="BA20" s="14">
        <v>300000</v>
      </c>
      <c r="BD20" s="7" t="s">
        <v>334</v>
      </c>
      <c r="BF20" s="7" t="s">
        <v>334</v>
      </c>
      <c r="BJ20" s="7" t="s">
        <v>336</v>
      </c>
      <c r="BP20" s="7" t="s">
        <v>337</v>
      </c>
      <c r="BR20" s="7" t="s">
        <v>756</v>
      </c>
      <c r="BU20" s="7" t="s">
        <v>338</v>
      </c>
      <c r="BW20" s="7" t="s">
        <v>356</v>
      </c>
      <c r="CE20" s="14"/>
    </row>
    <row r="21" spans="1:109" ht="38.25" x14ac:dyDescent="0.2">
      <c r="A21" s="6" t="s">
        <v>26</v>
      </c>
      <c r="B21" s="7" t="s">
        <v>251</v>
      </c>
      <c r="C21" s="7" t="s">
        <v>404</v>
      </c>
      <c r="F21" s="7" t="s">
        <v>334</v>
      </c>
      <c r="I21" s="7" t="s">
        <v>738</v>
      </c>
      <c r="J21" s="14"/>
      <c r="K21" s="7" t="s">
        <v>2900</v>
      </c>
      <c r="M21" s="7" t="s">
        <v>749</v>
      </c>
      <c r="P21" s="7" t="s">
        <v>251</v>
      </c>
      <c r="Q21" s="14">
        <v>1000000</v>
      </c>
      <c r="T21" s="7" t="s">
        <v>334</v>
      </c>
      <c r="V21" s="7" t="s">
        <v>251</v>
      </c>
      <c r="W21" s="7" t="s">
        <v>2778</v>
      </c>
      <c r="Y21" s="7" t="s">
        <v>787</v>
      </c>
      <c r="Z21" s="7" t="s">
        <v>336</v>
      </c>
      <c r="AF21" s="7" t="s">
        <v>337</v>
      </c>
      <c r="AH21" s="7" t="s">
        <v>338</v>
      </c>
      <c r="AJ21" s="7" t="s">
        <v>251</v>
      </c>
      <c r="AK21" s="7" t="s">
        <v>404</v>
      </c>
      <c r="AN21" s="7" t="s">
        <v>334</v>
      </c>
      <c r="AQ21" s="7" t="s">
        <v>2907</v>
      </c>
      <c r="AS21" s="7" t="s">
        <v>738</v>
      </c>
      <c r="AT21" s="14"/>
      <c r="AU21" s="7" t="s">
        <v>2900</v>
      </c>
      <c r="AW21" s="7" t="s">
        <v>749</v>
      </c>
      <c r="AZ21" s="7" t="s">
        <v>251</v>
      </c>
      <c r="BA21" s="14">
        <v>1000000</v>
      </c>
      <c r="BD21" s="7" t="s">
        <v>334</v>
      </c>
      <c r="BF21" s="7" t="s">
        <v>251</v>
      </c>
      <c r="BG21" s="7" t="s">
        <v>2777</v>
      </c>
      <c r="BI21" s="7" t="s">
        <v>788</v>
      </c>
      <c r="BJ21" s="7" t="s">
        <v>336</v>
      </c>
      <c r="BP21" s="7" t="s">
        <v>337</v>
      </c>
      <c r="BR21" s="7" t="s">
        <v>556</v>
      </c>
      <c r="BU21" s="7" t="s">
        <v>338</v>
      </c>
      <c r="BW21" s="7" t="s">
        <v>356</v>
      </c>
      <c r="CE21" s="14"/>
    </row>
    <row r="22" spans="1:109" ht="38.25" x14ac:dyDescent="0.2">
      <c r="A22" s="6" t="s">
        <v>20</v>
      </c>
      <c r="B22" s="7" t="s">
        <v>251</v>
      </c>
      <c r="C22" s="7" t="s">
        <v>404</v>
      </c>
      <c r="F22" s="7" t="s">
        <v>334</v>
      </c>
      <c r="I22" s="7" t="s">
        <v>738</v>
      </c>
      <c r="J22" s="14"/>
      <c r="K22" s="7" t="s">
        <v>2898</v>
      </c>
      <c r="M22" s="7" t="s">
        <v>749</v>
      </c>
      <c r="P22" s="7" t="s">
        <v>251</v>
      </c>
      <c r="Q22" s="14">
        <v>800000</v>
      </c>
      <c r="T22" s="7" t="s">
        <v>334</v>
      </c>
      <c r="V22" s="7" t="s">
        <v>251</v>
      </c>
      <c r="W22" s="7" t="s">
        <v>2777</v>
      </c>
      <c r="Y22" s="7" t="s">
        <v>771</v>
      </c>
      <c r="Z22" s="7" t="s">
        <v>336</v>
      </c>
      <c r="AF22" s="7" t="s">
        <v>337</v>
      </c>
      <c r="AH22" s="7" t="s">
        <v>350</v>
      </c>
      <c r="AJ22" s="7" t="s">
        <v>251</v>
      </c>
      <c r="AK22" s="7" t="s">
        <v>404</v>
      </c>
      <c r="AN22" s="7" t="s">
        <v>334</v>
      </c>
      <c r="AQ22" s="7" t="s">
        <v>2906</v>
      </c>
      <c r="AS22" s="7" t="s">
        <v>738</v>
      </c>
      <c r="AT22" s="14"/>
      <c r="AU22" s="7" t="s">
        <v>2898</v>
      </c>
      <c r="AW22" s="7" t="s">
        <v>749</v>
      </c>
      <c r="AZ22" s="7" t="s">
        <v>251</v>
      </c>
      <c r="BA22" s="14">
        <v>800000</v>
      </c>
      <c r="BD22" s="7" t="s">
        <v>334</v>
      </c>
      <c r="BF22" s="7" t="s">
        <v>251</v>
      </c>
      <c r="BG22" s="7" t="s">
        <v>2777</v>
      </c>
      <c r="BI22" s="7" t="s">
        <v>772</v>
      </c>
      <c r="BJ22" s="7" t="s">
        <v>336</v>
      </c>
      <c r="BP22" s="7" t="s">
        <v>337</v>
      </c>
      <c r="BR22" s="7" t="s">
        <v>556</v>
      </c>
      <c r="BU22" s="7" t="s">
        <v>350</v>
      </c>
      <c r="BW22" s="7" t="s">
        <v>764</v>
      </c>
      <c r="BX22" s="7" t="s">
        <v>404</v>
      </c>
      <c r="CA22" s="7" t="s">
        <v>334</v>
      </c>
      <c r="CD22" s="7" t="s">
        <v>396</v>
      </c>
      <c r="CE22" s="14">
        <v>10000</v>
      </c>
      <c r="CP22" s="7" t="s">
        <v>334</v>
      </c>
      <c r="CT22" s="7" t="s">
        <v>336</v>
      </c>
      <c r="CZ22" s="7" t="s">
        <v>337</v>
      </c>
      <c r="DB22" s="7" t="s">
        <v>556</v>
      </c>
      <c r="DE22" s="7" t="s">
        <v>350</v>
      </c>
    </row>
    <row r="23" spans="1:109" ht="25.5" x14ac:dyDescent="0.2">
      <c r="A23" s="6" t="s">
        <v>70</v>
      </c>
      <c r="B23" s="7" t="s">
        <v>251</v>
      </c>
      <c r="C23" s="7" t="s">
        <v>331</v>
      </c>
      <c r="D23" s="7" t="s">
        <v>2777</v>
      </c>
      <c r="F23" s="7" t="s">
        <v>334</v>
      </c>
      <c r="I23" s="7" t="s">
        <v>738</v>
      </c>
      <c r="K23" s="7" t="s">
        <v>2902</v>
      </c>
      <c r="M23" s="7" t="s">
        <v>749</v>
      </c>
      <c r="P23" s="7" t="s">
        <v>251</v>
      </c>
      <c r="Q23" s="14">
        <v>500000</v>
      </c>
      <c r="R23" s="7" t="s">
        <v>334</v>
      </c>
      <c r="S23" s="7" t="s">
        <v>908</v>
      </c>
      <c r="T23" s="7" t="s">
        <v>334</v>
      </c>
      <c r="V23" s="7" t="s">
        <v>334</v>
      </c>
      <c r="Z23" s="7" t="s">
        <v>336</v>
      </c>
      <c r="AF23" s="7" t="s">
        <v>337</v>
      </c>
      <c r="AH23" s="7" t="s">
        <v>130</v>
      </c>
      <c r="AI23" s="7" t="s">
        <v>435</v>
      </c>
      <c r="AJ23" s="7" t="s">
        <v>251</v>
      </c>
      <c r="AK23" s="7" t="s">
        <v>404</v>
      </c>
      <c r="AN23" s="7" t="s">
        <v>334</v>
      </c>
      <c r="AQ23" s="7" t="s">
        <v>2907</v>
      </c>
      <c r="AS23" s="7" t="s">
        <v>738</v>
      </c>
      <c r="AU23" s="7" t="s">
        <v>2902</v>
      </c>
      <c r="AW23" s="7" t="s">
        <v>749</v>
      </c>
      <c r="AZ23" s="7" t="s">
        <v>251</v>
      </c>
      <c r="BA23" s="14">
        <v>500000</v>
      </c>
      <c r="BD23" s="7" t="s">
        <v>334</v>
      </c>
      <c r="BF23" s="7" t="s">
        <v>334</v>
      </c>
      <c r="BJ23" s="7" t="s">
        <v>336</v>
      </c>
      <c r="BP23" s="7" t="s">
        <v>337</v>
      </c>
      <c r="BR23" s="7" t="s">
        <v>756</v>
      </c>
      <c r="BU23" s="7" t="s">
        <v>130</v>
      </c>
      <c r="BV23" s="7" t="s">
        <v>435</v>
      </c>
      <c r="BW23" s="7" t="s">
        <v>356</v>
      </c>
      <c r="CE23" s="14"/>
    </row>
    <row r="24" spans="1:109" ht="25.5" x14ac:dyDescent="0.2">
      <c r="A24" s="6" t="s">
        <v>14</v>
      </c>
      <c r="B24" s="7" t="s">
        <v>251</v>
      </c>
      <c r="C24" s="7" t="s">
        <v>404</v>
      </c>
      <c r="F24" s="7" t="s">
        <v>334</v>
      </c>
      <c r="I24" s="7" t="s">
        <v>738</v>
      </c>
      <c r="J24" s="14"/>
      <c r="K24" s="7" t="s">
        <v>753</v>
      </c>
      <c r="M24" s="7" t="s">
        <v>749</v>
      </c>
      <c r="P24" s="7" t="s">
        <v>251</v>
      </c>
      <c r="Q24" s="14">
        <v>500000</v>
      </c>
      <c r="T24" s="7" t="s">
        <v>334</v>
      </c>
      <c r="V24" s="7" t="s">
        <v>334</v>
      </c>
      <c r="Z24" s="7" t="s">
        <v>336</v>
      </c>
      <c r="AF24" s="7" t="s">
        <v>337</v>
      </c>
      <c r="AH24" s="7" t="s">
        <v>350</v>
      </c>
      <c r="AJ24" s="7" t="s">
        <v>251</v>
      </c>
      <c r="AK24" s="7" t="s">
        <v>404</v>
      </c>
      <c r="AN24" s="7" t="s">
        <v>334</v>
      </c>
      <c r="AQ24" s="7" t="s">
        <v>2907</v>
      </c>
      <c r="AS24" s="7" t="s">
        <v>738</v>
      </c>
      <c r="AT24" s="14"/>
      <c r="AU24" s="7" t="s">
        <v>753</v>
      </c>
      <c r="AW24" s="7" t="s">
        <v>749</v>
      </c>
      <c r="AZ24" s="7" t="s">
        <v>251</v>
      </c>
      <c r="BA24" s="14">
        <v>500000</v>
      </c>
      <c r="BD24" s="7" t="s">
        <v>334</v>
      </c>
      <c r="BF24" s="7" t="s">
        <v>334</v>
      </c>
      <c r="BJ24" s="7" t="s">
        <v>336</v>
      </c>
      <c r="BP24" s="7" t="s">
        <v>337</v>
      </c>
      <c r="BR24" s="7" t="s">
        <v>756</v>
      </c>
      <c r="BU24" s="7" t="s">
        <v>350</v>
      </c>
      <c r="BW24" s="7" t="s">
        <v>356</v>
      </c>
      <c r="CE24" s="14"/>
    </row>
    <row r="25" spans="1:109" ht="38.25" x14ac:dyDescent="0.2">
      <c r="A25" s="6" t="s">
        <v>24</v>
      </c>
      <c r="B25" s="7" t="s">
        <v>251</v>
      </c>
      <c r="C25" s="7" t="s">
        <v>331</v>
      </c>
      <c r="D25" s="7" t="s">
        <v>2777</v>
      </c>
      <c r="F25" s="7" t="s">
        <v>334</v>
      </c>
      <c r="I25" s="7" t="s">
        <v>738</v>
      </c>
      <c r="J25" s="14"/>
      <c r="K25" s="7" t="s">
        <v>2899</v>
      </c>
      <c r="M25" s="7" t="s">
        <v>749</v>
      </c>
      <c r="P25" s="7" t="s">
        <v>251</v>
      </c>
      <c r="Q25" s="14">
        <v>750000</v>
      </c>
      <c r="R25" s="7" t="s">
        <v>334</v>
      </c>
      <c r="S25" s="7" t="s">
        <v>3376</v>
      </c>
      <c r="T25" s="7" t="s">
        <v>251</v>
      </c>
      <c r="U25" s="7" t="s">
        <v>3362</v>
      </c>
      <c r="V25" s="7" t="s">
        <v>251</v>
      </c>
      <c r="W25" s="7" t="s">
        <v>2777</v>
      </c>
      <c r="Y25" s="7" t="s">
        <v>785</v>
      </c>
      <c r="Z25" s="7" t="s">
        <v>336</v>
      </c>
      <c r="AF25" s="7" t="s">
        <v>337</v>
      </c>
      <c r="AH25" s="7" t="s">
        <v>350</v>
      </c>
      <c r="AJ25" s="7" t="s">
        <v>251</v>
      </c>
      <c r="AK25" s="7" t="s">
        <v>404</v>
      </c>
      <c r="AN25" s="7" t="s">
        <v>334</v>
      </c>
      <c r="AQ25" s="7" t="s">
        <v>2907</v>
      </c>
      <c r="AS25" s="7" t="s">
        <v>738</v>
      </c>
      <c r="AT25" s="14"/>
      <c r="AW25" s="7" t="s">
        <v>749</v>
      </c>
      <c r="BA25" s="14"/>
      <c r="BD25" s="7" t="s">
        <v>334</v>
      </c>
      <c r="BJ25" s="7" t="s">
        <v>336</v>
      </c>
      <c r="BW25" s="7" t="s">
        <v>356</v>
      </c>
      <c r="CE25" s="14"/>
    </row>
    <row r="26" spans="1:109" ht="51" x14ac:dyDescent="0.2">
      <c r="A26" s="6" t="s">
        <v>37</v>
      </c>
      <c r="B26" s="7" t="s">
        <v>251</v>
      </c>
      <c r="C26" s="7" t="s">
        <v>404</v>
      </c>
      <c r="F26" s="7" t="s">
        <v>334</v>
      </c>
      <c r="I26" s="7" t="s">
        <v>738</v>
      </c>
      <c r="J26" s="14"/>
      <c r="K26" s="7" t="s">
        <v>2898</v>
      </c>
      <c r="M26" s="7" t="s">
        <v>749</v>
      </c>
      <c r="P26" s="7" t="s">
        <v>251</v>
      </c>
      <c r="Q26" s="14">
        <v>1000000</v>
      </c>
      <c r="T26" s="7" t="s">
        <v>251</v>
      </c>
      <c r="U26" s="7" t="s">
        <v>822</v>
      </c>
      <c r="V26" s="7" t="s">
        <v>251</v>
      </c>
      <c r="W26" s="7" t="s">
        <v>2778</v>
      </c>
      <c r="Y26" s="7" t="s">
        <v>823</v>
      </c>
      <c r="Z26" s="7" t="s">
        <v>336</v>
      </c>
      <c r="AF26" s="7" t="s">
        <v>343</v>
      </c>
      <c r="AH26" s="7" t="s">
        <v>350</v>
      </c>
      <c r="AJ26" s="7" t="s">
        <v>251</v>
      </c>
      <c r="AK26" s="7" t="s">
        <v>404</v>
      </c>
      <c r="AN26" s="7" t="s">
        <v>334</v>
      </c>
      <c r="AQ26" s="7" t="s">
        <v>2906</v>
      </c>
      <c r="AS26" s="7" t="s">
        <v>738</v>
      </c>
      <c r="AT26" s="14"/>
      <c r="AU26" s="7" t="s">
        <v>2898</v>
      </c>
      <c r="AW26" s="7" t="s">
        <v>749</v>
      </c>
      <c r="AZ26" s="7" t="s">
        <v>251</v>
      </c>
      <c r="BA26" s="14">
        <v>1000000</v>
      </c>
      <c r="BD26" s="7" t="s">
        <v>251</v>
      </c>
      <c r="BE26" s="7" t="s">
        <v>824</v>
      </c>
      <c r="BF26" s="7" t="s">
        <v>334</v>
      </c>
      <c r="BJ26" s="7" t="s">
        <v>336</v>
      </c>
      <c r="BP26" s="7" t="s">
        <v>343</v>
      </c>
      <c r="BU26" s="7" t="s">
        <v>386</v>
      </c>
      <c r="BW26" s="7" t="s">
        <v>356</v>
      </c>
      <c r="CE26" s="14"/>
    </row>
    <row r="27" spans="1:109" ht="25.5" x14ac:dyDescent="0.2">
      <c r="A27" s="6" t="s">
        <v>13</v>
      </c>
      <c r="B27" s="7" t="s">
        <v>251</v>
      </c>
      <c r="C27" s="7" t="s">
        <v>404</v>
      </c>
      <c r="F27" s="7" t="s">
        <v>334</v>
      </c>
      <c r="I27" s="7" t="s">
        <v>738</v>
      </c>
      <c r="J27" s="14"/>
      <c r="K27" s="7" t="s">
        <v>753</v>
      </c>
      <c r="M27" s="7" t="s">
        <v>749</v>
      </c>
      <c r="P27" s="7" t="s">
        <v>251</v>
      </c>
      <c r="Q27" s="14">
        <v>1000000</v>
      </c>
      <c r="T27" s="7" t="s">
        <v>251</v>
      </c>
      <c r="U27" s="7" t="s">
        <v>754</v>
      </c>
      <c r="V27" s="7" t="s">
        <v>251</v>
      </c>
      <c r="W27" s="7" t="s">
        <v>2777</v>
      </c>
      <c r="Y27" s="7" t="s">
        <v>755</v>
      </c>
      <c r="Z27" s="7" t="s">
        <v>336</v>
      </c>
      <c r="AF27" s="7" t="s">
        <v>337</v>
      </c>
      <c r="AH27" s="7" t="s">
        <v>130</v>
      </c>
      <c r="AI27" s="7" t="s">
        <v>348</v>
      </c>
      <c r="AJ27" s="7" t="s">
        <v>334</v>
      </c>
      <c r="AT27" s="14"/>
      <c r="BA27" s="14"/>
      <c r="BD27" s="7" t="s">
        <v>334</v>
      </c>
      <c r="BF27" s="7" t="s">
        <v>334</v>
      </c>
      <c r="BW27" s="7" t="s">
        <v>356</v>
      </c>
      <c r="CE27" s="14"/>
    </row>
    <row r="28" spans="1:109" ht="114.75" x14ac:dyDescent="0.2">
      <c r="A28" s="6" t="s">
        <v>35</v>
      </c>
      <c r="B28" s="7" t="s">
        <v>251</v>
      </c>
      <c r="C28" s="7" t="s">
        <v>331</v>
      </c>
      <c r="D28" s="7" t="s">
        <v>2777</v>
      </c>
      <c r="F28" s="7" t="s">
        <v>334</v>
      </c>
      <c r="I28" s="7" t="s">
        <v>738</v>
      </c>
      <c r="J28" s="14"/>
      <c r="K28" s="7" t="s">
        <v>2896</v>
      </c>
      <c r="M28" s="7" t="s">
        <v>749</v>
      </c>
      <c r="P28" s="7" t="s">
        <v>251</v>
      </c>
      <c r="Q28" s="14">
        <v>500000</v>
      </c>
      <c r="R28" s="7" t="s">
        <v>334</v>
      </c>
      <c r="S28" s="7" t="s">
        <v>815</v>
      </c>
      <c r="T28" s="7" t="s">
        <v>251</v>
      </c>
      <c r="U28" s="7" t="s">
        <v>816</v>
      </c>
      <c r="V28" s="7" t="s">
        <v>251</v>
      </c>
      <c r="W28" s="7" t="s">
        <v>2777</v>
      </c>
      <c r="Y28" s="7" t="s">
        <v>817</v>
      </c>
      <c r="Z28" s="7" t="s">
        <v>336</v>
      </c>
      <c r="AF28" s="7" t="s">
        <v>337</v>
      </c>
      <c r="AH28" s="7" t="s">
        <v>344</v>
      </c>
      <c r="AJ28" s="7" t="s">
        <v>251</v>
      </c>
      <c r="AK28" s="7" t="s">
        <v>404</v>
      </c>
      <c r="AN28" s="7" t="s">
        <v>334</v>
      </c>
      <c r="AQ28" s="7" t="s">
        <v>2907</v>
      </c>
      <c r="AS28" s="7" t="s">
        <v>738</v>
      </c>
      <c r="AT28" s="14"/>
      <c r="AU28" s="7" t="s">
        <v>2913</v>
      </c>
      <c r="AW28" s="7" t="s">
        <v>749</v>
      </c>
      <c r="AZ28" s="7" t="s">
        <v>251</v>
      </c>
      <c r="BA28" s="14">
        <v>500000</v>
      </c>
      <c r="BD28" s="7" t="s">
        <v>334</v>
      </c>
      <c r="BF28" s="7" t="s">
        <v>334</v>
      </c>
      <c r="BJ28" s="7" t="s">
        <v>336</v>
      </c>
      <c r="BP28" s="7" t="s">
        <v>337</v>
      </c>
      <c r="BR28" s="7" t="s">
        <v>756</v>
      </c>
      <c r="BU28" s="7" t="s">
        <v>130</v>
      </c>
      <c r="BV28" s="7" t="s">
        <v>796</v>
      </c>
      <c r="BW28" s="7" t="s">
        <v>356</v>
      </c>
      <c r="CE28" s="14"/>
    </row>
    <row r="29" spans="1:109" ht="102" x14ac:dyDescent="0.2">
      <c r="A29" s="6" t="s">
        <v>67</v>
      </c>
      <c r="B29" s="7" t="s">
        <v>251</v>
      </c>
      <c r="C29" s="7" t="s">
        <v>331</v>
      </c>
      <c r="D29" s="7" t="s">
        <v>2777</v>
      </c>
      <c r="F29" s="7" t="s">
        <v>334</v>
      </c>
      <c r="I29" s="7" t="s">
        <v>738</v>
      </c>
      <c r="K29" s="7" t="s">
        <v>2898</v>
      </c>
      <c r="M29" s="7" t="s">
        <v>749</v>
      </c>
      <c r="P29" s="7" t="s">
        <v>251</v>
      </c>
      <c r="Q29" s="14">
        <v>2000000</v>
      </c>
      <c r="R29" s="7" t="s">
        <v>334</v>
      </c>
      <c r="S29" s="7" t="s">
        <v>899</v>
      </c>
      <c r="T29" s="7" t="s">
        <v>251</v>
      </c>
      <c r="U29" s="7" t="s">
        <v>900</v>
      </c>
      <c r="V29" s="7" t="s">
        <v>251</v>
      </c>
      <c r="W29" s="7" t="s">
        <v>2904</v>
      </c>
      <c r="Y29" s="7" t="s">
        <v>900</v>
      </c>
      <c r="Z29" s="7" t="s">
        <v>336</v>
      </c>
      <c r="AF29" s="7" t="s">
        <v>337</v>
      </c>
      <c r="AH29" s="7" t="s">
        <v>338</v>
      </c>
      <c r="AJ29" s="7" t="s">
        <v>251</v>
      </c>
      <c r="AK29" s="7" t="s">
        <v>404</v>
      </c>
      <c r="AN29" s="7" t="s">
        <v>334</v>
      </c>
      <c r="AQ29" s="7" t="s">
        <v>2907</v>
      </c>
      <c r="AS29" s="7" t="s">
        <v>738</v>
      </c>
      <c r="AU29" s="7" t="s">
        <v>2898</v>
      </c>
      <c r="AW29" s="7" t="s">
        <v>749</v>
      </c>
      <c r="AZ29" s="7" t="s">
        <v>251</v>
      </c>
      <c r="BA29" s="14">
        <v>1000000</v>
      </c>
      <c r="BD29" s="7" t="s">
        <v>334</v>
      </c>
      <c r="BF29" s="7" t="s">
        <v>334</v>
      </c>
      <c r="BJ29" s="7" t="s">
        <v>336</v>
      </c>
      <c r="BP29" s="7" t="s">
        <v>337</v>
      </c>
      <c r="BR29" s="7" t="s">
        <v>756</v>
      </c>
      <c r="BU29" s="7" t="s">
        <v>338</v>
      </c>
      <c r="BW29" s="7" t="s">
        <v>356</v>
      </c>
      <c r="CE29" s="14"/>
    </row>
    <row r="30" spans="1:109" ht="25.5" x14ac:dyDescent="0.2">
      <c r="A30" s="6" t="s">
        <v>49</v>
      </c>
      <c r="B30" s="7" t="s">
        <v>251</v>
      </c>
      <c r="C30" s="7" t="s">
        <v>331</v>
      </c>
      <c r="D30" s="7" t="s">
        <v>2777</v>
      </c>
      <c r="F30" s="7" t="s">
        <v>334</v>
      </c>
      <c r="I30" s="7" t="s">
        <v>738</v>
      </c>
      <c r="K30" s="7" t="s">
        <v>2902</v>
      </c>
      <c r="M30" s="7" t="s">
        <v>130</v>
      </c>
      <c r="N30" s="7" t="s">
        <v>859</v>
      </c>
      <c r="P30" s="7" t="s">
        <v>251</v>
      </c>
      <c r="Q30" s="14">
        <v>750000</v>
      </c>
      <c r="R30" s="7" t="s">
        <v>334</v>
      </c>
      <c r="S30" s="7" t="s">
        <v>860</v>
      </c>
      <c r="T30" s="7" t="s">
        <v>334</v>
      </c>
      <c r="V30" s="7" t="s">
        <v>334</v>
      </c>
      <c r="Z30" s="7" t="s">
        <v>336</v>
      </c>
      <c r="AF30" s="7" t="s">
        <v>337</v>
      </c>
      <c r="AH30" s="7" t="s">
        <v>338</v>
      </c>
      <c r="AJ30" s="7" t="s">
        <v>251</v>
      </c>
      <c r="AK30" s="7" t="s">
        <v>404</v>
      </c>
      <c r="AN30" s="7" t="s">
        <v>334</v>
      </c>
      <c r="AQ30" s="7" t="s">
        <v>2907</v>
      </c>
      <c r="AS30" s="7" t="s">
        <v>738</v>
      </c>
      <c r="AU30" s="7" t="s">
        <v>2902</v>
      </c>
      <c r="AW30" s="7" t="s">
        <v>130</v>
      </c>
      <c r="AX30" s="7" t="s">
        <v>859</v>
      </c>
      <c r="AZ30" s="7" t="s">
        <v>251</v>
      </c>
      <c r="BA30" s="14">
        <v>750000</v>
      </c>
      <c r="BD30" s="7" t="s">
        <v>334</v>
      </c>
      <c r="BF30" s="7" t="s">
        <v>334</v>
      </c>
      <c r="BJ30" s="7" t="s">
        <v>336</v>
      </c>
      <c r="BP30" s="7" t="s">
        <v>337</v>
      </c>
      <c r="BR30" s="7" t="s">
        <v>756</v>
      </c>
      <c r="BU30" s="7" t="s">
        <v>338</v>
      </c>
      <c r="BW30" s="7" t="s">
        <v>356</v>
      </c>
      <c r="CE30" s="14"/>
    </row>
    <row r="31" spans="1:109" ht="51" x14ac:dyDescent="0.2">
      <c r="A31" s="6" t="s">
        <v>68</v>
      </c>
      <c r="B31" s="7" t="s">
        <v>251</v>
      </c>
      <c r="C31" s="7" t="s">
        <v>331</v>
      </c>
      <c r="D31" s="7" t="s">
        <v>743</v>
      </c>
      <c r="F31" s="7" t="s">
        <v>334</v>
      </c>
      <c r="I31" s="7" t="s">
        <v>738</v>
      </c>
      <c r="K31" s="7" t="s">
        <v>753</v>
      </c>
      <c r="M31" s="7" t="s">
        <v>749</v>
      </c>
      <c r="P31" s="7" t="s">
        <v>251</v>
      </c>
      <c r="Q31" s="14">
        <v>500000</v>
      </c>
      <c r="R31" s="7" t="s">
        <v>251</v>
      </c>
      <c r="T31" s="7" t="s">
        <v>251</v>
      </c>
      <c r="U31" s="7" t="s">
        <v>901</v>
      </c>
      <c r="V31" s="7" t="s">
        <v>251</v>
      </c>
      <c r="W31" s="7" t="s">
        <v>2904</v>
      </c>
      <c r="Y31" s="7" t="s">
        <v>902</v>
      </c>
      <c r="Z31" s="7" t="s">
        <v>616</v>
      </c>
      <c r="AF31" s="7" t="s">
        <v>337</v>
      </c>
      <c r="AH31" s="7" t="s">
        <v>350</v>
      </c>
      <c r="AJ31" s="7" t="s">
        <v>251</v>
      </c>
      <c r="AK31" s="7" t="s">
        <v>404</v>
      </c>
      <c r="AN31" s="7" t="s">
        <v>334</v>
      </c>
      <c r="AQ31" s="7" t="s">
        <v>2906</v>
      </c>
      <c r="AS31" s="7" t="s">
        <v>738</v>
      </c>
      <c r="AU31" s="7" t="s">
        <v>753</v>
      </c>
      <c r="AW31" s="7" t="s">
        <v>749</v>
      </c>
      <c r="AZ31" s="7" t="s">
        <v>251</v>
      </c>
      <c r="BA31" s="14">
        <v>500000</v>
      </c>
      <c r="BD31" s="7" t="s">
        <v>334</v>
      </c>
      <c r="BF31" s="7" t="s">
        <v>334</v>
      </c>
      <c r="BJ31" s="7" t="s">
        <v>336</v>
      </c>
      <c r="BP31" s="7" t="s">
        <v>337</v>
      </c>
      <c r="BR31" s="7" t="s">
        <v>756</v>
      </c>
      <c r="BU31" s="7" t="s">
        <v>350</v>
      </c>
      <c r="BW31" s="7" t="s">
        <v>764</v>
      </c>
      <c r="BX31" s="7" t="s">
        <v>404</v>
      </c>
      <c r="CA31" s="7" t="s">
        <v>334</v>
      </c>
      <c r="CD31" s="7" t="s">
        <v>396</v>
      </c>
      <c r="CE31" s="14">
        <v>2000</v>
      </c>
      <c r="CP31" s="7" t="s">
        <v>334</v>
      </c>
      <c r="CT31" s="7" t="s">
        <v>336</v>
      </c>
      <c r="CZ31" s="7" t="s">
        <v>337</v>
      </c>
      <c r="DB31" s="7" t="s">
        <v>756</v>
      </c>
      <c r="DE31" s="7" t="s">
        <v>350</v>
      </c>
    </row>
    <row r="32" spans="1:109" ht="63.75" x14ac:dyDescent="0.2">
      <c r="A32" s="6" t="s">
        <v>11</v>
      </c>
      <c r="B32" s="7" t="s">
        <v>251</v>
      </c>
      <c r="C32" s="7" t="s">
        <v>331</v>
      </c>
      <c r="D32" s="7" t="s">
        <v>2777</v>
      </c>
      <c r="F32" s="7" t="s">
        <v>334</v>
      </c>
      <c r="I32" s="7" t="s">
        <v>738</v>
      </c>
      <c r="J32" s="14"/>
      <c r="K32" s="7" t="s">
        <v>2896</v>
      </c>
      <c r="M32" s="7" t="s">
        <v>740</v>
      </c>
      <c r="P32" s="7" t="s">
        <v>251</v>
      </c>
      <c r="Q32" s="14">
        <v>750000</v>
      </c>
      <c r="R32" s="7" t="s">
        <v>334</v>
      </c>
      <c r="S32" s="7" t="s">
        <v>741</v>
      </c>
      <c r="T32" s="7" t="s">
        <v>251</v>
      </c>
      <c r="U32" s="7" t="s">
        <v>742</v>
      </c>
      <c r="V32" s="7" t="s">
        <v>251</v>
      </c>
      <c r="W32" s="7" t="s">
        <v>743</v>
      </c>
      <c r="Y32" s="7" t="s">
        <v>744</v>
      </c>
      <c r="Z32" s="7" t="s">
        <v>336</v>
      </c>
      <c r="AF32" s="7" t="s">
        <v>343</v>
      </c>
      <c r="AH32" s="7" t="s">
        <v>338</v>
      </c>
      <c r="AJ32" s="7" t="s">
        <v>251</v>
      </c>
      <c r="AK32" s="7" t="s">
        <v>404</v>
      </c>
      <c r="AN32" s="7" t="s">
        <v>334</v>
      </c>
      <c r="AQ32" s="7" t="s">
        <v>2906</v>
      </c>
      <c r="AS32" s="7" t="s">
        <v>738</v>
      </c>
      <c r="AT32" s="14"/>
      <c r="AU32" s="7" t="s">
        <v>2896</v>
      </c>
      <c r="AW32" s="7" t="s">
        <v>740</v>
      </c>
      <c r="AZ32" s="7" t="s">
        <v>251</v>
      </c>
      <c r="BA32" s="14">
        <v>750000</v>
      </c>
      <c r="BD32" s="7" t="s">
        <v>334</v>
      </c>
      <c r="BF32" s="7" t="s">
        <v>334</v>
      </c>
      <c r="BJ32" s="7" t="s">
        <v>336</v>
      </c>
      <c r="BP32" s="7" t="s">
        <v>343</v>
      </c>
      <c r="BU32" s="7" t="s">
        <v>338</v>
      </c>
      <c r="BW32" s="7" t="s">
        <v>745</v>
      </c>
      <c r="CE32" s="14"/>
      <c r="CO32" s="7" t="s">
        <v>746</v>
      </c>
      <c r="CP32" s="7" t="s">
        <v>251</v>
      </c>
      <c r="CQ32" s="7" t="s">
        <v>743</v>
      </c>
      <c r="CS32" s="7" t="s">
        <v>747</v>
      </c>
      <c r="DE32" s="7" t="s">
        <v>338</v>
      </c>
    </row>
    <row r="33" spans="1:110" ht="114.75" x14ac:dyDescent="0.2">
      <c r="A33" s="6" t="s">
        <v>50</v>
      </c>
      <c r="B33" s="7" t="s">
        <v>251</v>
      </c>
      <c r="C33" s="7" t="s">
        <v>331</v>
      </c>
      <c r="D33" s="7" t="s">
        <v>2777</v>
      </c>
      <c r="F33" s="7" t="s">
        <v>334</v>
      </c>
      <c r="I33" s="7" t="s">
        <v>738</v>
      </c>
      <c r="K33" s="7" t="s">
        <v>753</v>
      </c>
      <c r="M33" s="7" t="s">
        <v>749</v>
      </c>
      <c r="P33" s="7" t="s">
        <v>251</v>
      </c>
      <c r="Q33" s="14">
        <v>500000</v>
      </c>
      <c r="R33" s="7" t="s">
        <v>334</v>
      </c>
      <c r="S33" s="7" t="s">
        <v>861</v>
      </c>
      <c r="T33" s="7" t="s">
        <v>251</v>
      </c>
      <c r="U33" s="7" t="s">
        <v>862</v>
      </c>
      <c r="V33" s="7" t="s">
        <v>251</v>
      </c>
      <c r="W33" s="7" t="s">
        <v>2777</v>
      </c>
      <c r="Y33" s="7" t="s">
        <v>863</v>
      </c>
      <c r="Z33" s="7" t="s">
        <v>336</v>
      </c>
      <c r="AF33" s="7" t="s">
        <v>337</v>
      </c>
      <c r="AH33" s="7" t="s">
        <v>338</v>
      </c>
      <c r="AJ33" s="7" t="s">
        <v>251</v>
      </c>
      <c r="AK33" s="7" t="s">
        <v>331</v>
      </c>
      <c r="AL33" s="7" t="s">
        <v>2777</v>
      </c>
      <c r="AN33" s="7" t="s">
        <v>334</v>
      </c>
      <c r="AQ33" s="7" t="s">
        <v>2906</v>
      </c>
      <c r="AS33" s="7" t="s">
        <v>738</v>
      </c>
      <c r="AU33" s="7" t="s">
        <v>753</v>
      </c>
      <c r="AW33" s="7" t="s">
        <v>749</v>
      </c>
      <c r="AZ33" s="7" t="s">
        <v>251</v>
      </c>
      <c r="BA33" s="14">
        <v>250000</v>
      </c>
      <c r="BB33" s="7" t="s">
        <v>334</v>
      </c>
      <c r="BC33" s="7" t="s">
        <v>864</v>
      </c>
      <c r="BD33" s="7" t="s">
        <v>251</v>
      </c>
      <c r="BE33" s="7" t="s">
        <v>865</v>
      </c>
      <c r="BF33" s="7" t="s">
        <v>334</v>
      </c>
      <c r="BJ33" s="7" t="s">
        <v>336</v>
      </c>
      <c r="BP33" s="7" t="s">
        <v>337</v>
      </c>
      <c r="BR33" s="7" t="s">
        <v>756</v>
      </c>
      <c r="BU33" s="7" t="s">
        <v>338</v>
      </c>
      <c r="BW33" s="7" t="s">
        <v>356</v>
      </c>
      <c r="CE33" s="14"/>
    </row>
    <row r="34" spans="1:110" ht="38.25" x14ac:dyDescent="0.2">
      <c r="A34" s="6" t="s">
        <v>71</v>
      </c>
      <c r="B34" s="7" t="s">
        <v>251</v>
      </c>
      <c r="C34" s="7" t="s">
        <v>331</v>
      </c>
      <c r="D34" s="7" t="s">
        <v>2777</v>
      </c>
      <c r="F34" s="7" t="s">
        <v>334</v>
      </c>
      <c r="I34" s="7" t="s">
        <v>738</v>
      </c>
      <c r="K34" s="7" t="s">
        <v>753</v>
      </c>
      <c r="M34" s="7" t="s">
        <v>749</v>
      </c>
      <c r="P34" s="7" t="s">
        <v>251</v>
      </c>
      <c r="Q34" s="14">
        <v>1000000</v>
      </c>
      <c r="R34" s="7" t="s">
        <v>334</v>
      </c>
      <c r="S34" s="7" t="s">
        <v>909</v>
      </c>
      <c r="T34" s="7" t="s">
        <v>251</v>
      </c>
      <c r="U34" s="7" t="s">
        <v>910</v>
      </c>
      <c r="V34" s="7" t="s">
        <v>251</v>
      </c>
      <c r="W34" s="7" t="s">
        <v>2904</v>
      </c>
      <c r="Y34" s="7" t="s">
        <v>910</v>
      </c>
      <c r="Z34" s="7" t="s">
        <v>336</v>
      </c>
      <c r="AF34" s="7" t="s">
        <v>337</v>
      </c>
      <c r="AH34" s="7" t="s">
        <v>350</v>
      </c>
      <c r="AJ34" s="7" t="s">
        <v>251</v>
      </c>
      <c r="AK34" s="7" t="s">
        <v>404</v>
      </c>
      <c r="AN34" s="7" t="s">
        <v>334</v>
      </c>
      <c r="AQ34" s="7" t="s">
        <v>2906</v>
      </c>
      <c r="AS34" s="7" t="s">
        <v>738</v>
      </c>
      <c r="AU34" s="7" t="s">
        <v>753</v>
      </c>
      <c r="AW34" s="7" t="s">
        <v>749</v>
      </c>
      <c r="AZ34" s="7" t="s">
        <v>251</v>
      </c>
      <c r="BA34" s="14">
        <v>1000000</v>
      </c>
      <c r="BD34" s="7" t="s">
        <v>334</v>
      </c>
      <c r="BF34" s="7" t="s">
        <v>334</v>
      </c>
      <c r="BJ34" s="7" t="s">
        <v>336</v>
      </c>
      <c r="BP34" s="7" t="s">
        <v>337</v>
      </c>
      <c r="BR34" s="7" t="s">
        <v>756</v>
      </c>
      <c r="BU34" s="7" t="s">
        <v>350</v>
      </c>
      <c r="BW34" s="7" t="s">
        <v>3378</v>
      </c>
      <c r="BX34" s="7" t="s">
        <v>404</v>
      </c>
      <c r="CA34" s="7" t="s">
        <v>334</v>
      </c>
      <c r="CD34" s="7" t="s">
        <v>396</v>
      </c>
      <c r="CE34" s="14">
        <v>15000</v>
      </c>
      <c r="CO34" s="7" t="s">
        <v>911</v>
      </c>
      <c r="CP34" s="7" t="s">
        <v>251</v>
      </c>
      <c r="CQ34" s="7" t="s">
        <v>2777</v>
      </c>
      <c r="CS34" s="7" t="s">
        <v>912</v>
      </c>
      <c r="CT34" s="7" t="s">
        <v>336</v>
      </c>
      <c r="CZ34" s="7" t="s">
        <v>337</v>
      </c>
      <c r="DB34" s="7" t="s">
        <v>556</v>
      </c>
      <c r="DE34" s="7" t="s">
        <v>350</v>
      </c>
    </row>
    <row r="35" spans="1:110" ht="25.5" x14ac:dyDescent="0.2">
      <c r="A35" s="6" t="s">
        <v>65</v>
      </c>
      <c r="B35" s="7" t="s">
        <v>251</v>
      </c>
      <c r="C35" s="7" t="s">
        <v>331</v>
      </c>
      <c r="D35" s="7" t="s">
        <v>2777</v>
      </c>
      <c r="F35" s="7" t="s">
        <v>334</v>
      </c>
      <c r="I35" s="7" t="s">
        <v>738</v>
      </c>
      <c r="K35" s="7" t="s">
        <v>2903</v>
      </c>
      <c r="M35" s="7" t="s">
        <v>749</v>
      </c>
      <c r="P35" s="7" t="s">
        <v>251</v>
      </c>
      <c r="Q35" s="14">
        <v>1000000</v>
      </c>
      <c r="R35" s="7" t="s">
        <v>334</v>
      </c>
      <c r="S35" s="7" t="s">
        <v>898</v>
      </c>
      <c r="T35" s="7" t="s">
        <v>334</v>
      </c>
      <c r="V35" s="7" t="s">
        <v>334</v>
      </c>
      <c r="Z35" s="7" t="s">
        <v>336</v>
      </c>
      <c r="AF35" s="7" t="s">
        <v>337</v>
      </c>
      <c r="AH35" s="7" t="s">
        <v>350</v>
      </c>
      <c r="AJ35" s="7" t="s">
        <v>251</v>
      </c>
      <c r="AK35" s="7" t="s">
        <v>404</v>
      </c>
      <c r="AN35" s="7" t="s">
        <v>334</v>
      </c>
      <c r="AQ35" s="7" t="s">
        <v>2907</v>
      </c>
      <c r="AS35" s="7" t="s">
        <v>738</v>
      </c>
      <c r="AU35" s="7" t="s">
        <v>2903</v>
      </c>
      <c r="AW35" s="7" t="s">
        <v>749</v>
      </c>
      <c r="AZ35" s="7" t="s">
        <v>251</v>
      </c>
      <c r="BA35" s="14">
        <v>1000000</v>
      </c>
      <c r="BD35" s="7" t="s">
        <v>334</v>
      </c>
      <c r="BF35" s="7" t="s">
        <v>334</v>
      </c>
      <c r="BJ35" s="7" t="s">
        <v>336</v>
      </c>
      <c r="BP35" s="7" t="s">
        <v>337</v>
      </c>
      <c r="BU35" s="7" t="s">
        <v>350</v>
      </c>
      <c r="BW35" s="7" t="s">
        <v>356</v>
      </c>
      <c r="CE35" s="14"/>
    </row>
    <row r="36" spans="1:110" ht="38.25" x14ac:dyDescent="0.2">
      <c r="A36" s="6" t="s">
        <v>59</v>
      </c>
      <c r="B36" s="7" t="s">
        <v>251</v>
      </c>
      <c r="C36" s="7" t="s">
        <v>404</v>
      </c>
      <c r="F36" s="7" t="s">
        <v>334</v>
      </c>
      <c r="I36" s="7" t="s">
        <v>738</v>
      </c>
      <c r="K36" s="7" t="s">
        <v>753</v>
      </c>
      <c r="M36" s="7" t="s">
        <v>749</v>
      </c>
      <c r="P36" s="7" t="s">
        <v>251</v>
      </c>
      <c r="Q36" s="14">
        <v>500000</v>
      </c>
      <c r="T36" s="7" t="s">
        <v>251</v>
      </c>
      <c r="U36" s="7" t="s">
        <v>887</v>
      </c>
      <c r="V36" s="7" t="s">
        <v>251</v>
      </c>
      <c r="W36" s="7" t="s">
        <v>2777</v>
      </c>
      <c r="Y36" s="7" t="s">
        <v>888</v>
      </c>
      <c r="Z36" s="7" t="s">
        <v>336</v>
      </c>
      <c r="AF36" s="7" t="s">
        <v>337</v>
      </c>
      <c r="AH36" s="7" t="s">
        <v>344</v>
      </c>
      <c r="AJ36" s="7" t="s">
        <v>251</v>
      </c>
      <c r="AK36" s="7" t="s">
        <v>404</v>
      </c>
      <c r="AN36" s="7" t="s">
        <v>334</v>
      </c>
      <c r="AQ36" s="7" t="s">
        <v>2906</v>
      </c>
      <c r="AS36" s="7" t="s">
        <v>738</v>
      </c>
      <c r="AU36" s="7" t="s">
        <v>753</v>
      </c>
      <c r="AW36" s="7" t="s">
        <v>749</v>
      </c>
      <c r="AZ36" s="7" t="s">
        <v>251</v>
      </c>
      <c r="BA36" s="14">
        <v>500000</v>
      </c>
      <c r="BD36" s="7" t="s">
        <v>334</v>
      </c>
      <c r="BF36" s="7" t="s">
        <v>334</v>
      </c>
      <c r="BJ36" s="7" t="s">
        <v>336</v>
      </c>
      <c r="BP36" s="7" t="s">
        <v>337</v>
      </c>
      <c r="BR36" s="7" t="s">
        <v>556</v>
      </c>
      <c r="BU36" s="7" t="s">
        <v>344</v>
      </c>
      <c r="BW36" s="7" t="s">
        <v>356</v>
      </c>
      <c r="CE36" s="14"/>
    </row>
    <row r="37" spans="1:110" ht="38.25" x14ac:dyDescent="0.2">
      <c r="A37" s="6" t="s">
        <v>36</v>
      </c>
      <c r="B37" s="7" t="s">
        <v>251</v>
      </c>
      <c r="C37" s="7" t="s">
        <v>331</v>
      </c>
      <c r="D37" s="7" t="s">
        <v>2777</v>
      </c>
      <c r="F37" s="7" t="s">
        <v>334</v>
      </c>
      <c r="I37" s="7" t="s">
        <v>380</v>
      </c>
      <c r="J37" s="14"/>
      <c r="O37" s="7" t="s">
        <v>818</v>
      </c>
      <c r="Q37" s="14"/>
      <c r="R37" s="7" t="s">
        <v>334</v>
      </c>
      <c r="S37" s="7" t="s">
        <v>819</v>
      </c>
      <c r="T37" s="7" t="s">
        <v>251</v>
      </c>
      <c r="U37" s="7" t="s">
        <v>820</v>
      </c>
      <c r="V37" s="7" t="s">
        <v>251</v>
      </c>
      <c r="W37" s="7" t="s">
        <v>743</v>
      </c>
      <c r="Y37" s="7" t="s">
        <v>820</v>
      </c>
      <c r="Z37" s="7" t="s">
        <v>336</v>
      </c>
      <c r="AF37" s="7" t="s">
        <v>337</v>
      </c>
      <c r="AH37" s="7" t="s">
        <v>338</v>
      </c>
      <c r="AJ37" s="7" t="s">
        <v>251</v>
      </c>
      <c r="AK37" s="7" t="s">
        <v>404</v>
      </c>
      <c r="AN37" s="7" t="s">
        <v>334</v>
      </c>
      <c r="AQ37" s="7" t="s">
        <v>2907</v>
      </c>
      <c r="AS37" s="7" t="s">
        <v>380</v>
      </c>
      <c r="AT37" s="14"/>
      <c r="AY37" s="7" t="s">
        <v>821</v>
      </c>
      <c r="BA37" s="14"/>
      <c r="BD37" s="7" t="s">
        <v>334</v>
      </c>
      <c r="BF37" s="7" t="s">
        <v>334</v>
      </c>
      <c r="BJ37" s="7" t="s">
        <v>336</v>
      </c>
      <c r="BP37" s="7" t="s">
        <v>337</v>
      </c>
      <c r="BR37" s="7" t="s">
        <v>756</v>
      </c>
      <c r="BU37" s="7" t="s">
        <v>338</v>
      </c>
      <c r="BW37" s="7" t="s">
        <v>356</v>
      </c>
      <c r="CE37" s="14"/>
    </row>
    <row r="38" spans="1:110" ht="51" x14ac:dyDescent="0.2">
      <c r="A38" s="6" t="s">
        <v>28</v>
      </c>
      <c r="B38" s="7" t="s">
        <v>251</v>
      </c>
      <c r="C38" s="7" t="s">
        <v>404</v>
      </c>
      <c r="F38" s="7" t="s">
        <v>334</v>
      </c>
      <c r="I38" s="7" t="s">
        <v>738</v>
      </c>
      <c r="J38" s="14"/>
      <c r="K38" s="7" t="s">
        <v>753</v>
      </c>
      <c r="M38" s="7" t="s">
        <v>749</v>
      </c>
      <c r="P38" s="7" t="s">
        <v>251</v>
      </c>
      <c r="Q38" s="14">
        <v>500000</v>
      </c>
      <c r="T38" s="7" t="s">
        <v>251</v>
      </c>
      <c r="U38" s="7" t="s">
        <v>791</v>
      </c>
      <c r="V38" s="7" t="s">
        <v>251</v>
      </c>
      <c r="W38" s="7" t="s">
        <v>2904</v>
      </c>
      <c r="Y38" s="7" t="s">
        <v>792</v>
      </c>
      <c r="Z38" s="7" t="s">
        <v>336</v>
      </c>
      <c r="AF38" s="7" t="s">
        <v>337</v>
      </c>
      <c r="AH38" s="7" t="s">
        <v>338</v>
      </c>
      <c r="AJ38" s="7" t="s">
        <v>251</v>
      </c>
      <c r="AK38" s="7" t="s">
        <v>404</v>
      </c>
      <c r="AN38" s="7" t="s">
        <v>334</v>
      </c>
      <c r="AQ38" s="7" t="s">
        <v>2907</v>
      </c>
      <c r="AS38" s="7" t="s">
        <v>738</v>
      </c>
      <c r="AT38" s="14"/>
      <c r="AU38" s="7" t="s">
        <v>753</v>
      </c>
      <c r="AW38" s="7" t="s">
        <v>749</v>
      </c>
      <c r="AZ38" s="7" t="s">
        <v>251</v>
      </c>
      <c r="BA38" s="14">
        <v>250000</v>
      </c>
      <c r="BD38" s="7" t="s">
        <v>251</v>
      </c>
      <c r="BE38" s="7" t="s">
        <v>793</v>
      </c>
      <c r="BF38" s="7" t="s">
        <v>251</v>
      </c>
      <c r="BG38" s="7" t="s">
        <v>2777</v>
      </c>
      <c r="BI38" s="7" t="s">
        <v>794</v>
      </c>
      <c r="BJ38" s="7" t="s">
        <v>336</v>
      </c>
      <c r="BP38" s="7" t="s">
        <v>337</v>
      </c>
      <c r="BR38" s="7" t="s">
        <v>756</v>
      </c>
      <c r="BU38" s="7" t="s">
        <v>338</v>
      </c>
      <c r="BW38" s="7" t="s">
        <v>356</v>
      </c>
      <c r="CE38" s="14"/>
    </row>
    <row r="39" spans="1:110" ht="38.25" x14ac:dyDescent="0.2">
      <c r="A39" s="6" t="s">
        <v>52</v>
      </c>
      <c r="B39" s="7" t="s">
        <v>251</v>
      </c>
      <c r="C39" s="7" t="s">
        <v>331</v>
      </c>
      <c r="D39" s="7" t="s">
        <v>2777</v>
      </c>
      <c r="F39" s="7" t="s">
        <v>334</v>
      </c>
      <c r="I39" s="7" t="s">
        <v>738</v>
      </c>
      <c r="K39" s="7" t="s">
        <v>753</v>
      </c>
      <c r="M39" s="7" t="s">
        <v>749</v>
      </c>
      <c r="P39" s="7" t="s">
        <v>251</v>
      </c>
      <c r="Q39" s="14">
        <v>500000</v>
      </c>
      <c r="R39" s="7" t="s">
        <v>334</v>
      </c>
      <c r="S39" s="7" t="s">
        <v>874</v>
      </c>
      <c r="T39" s="7" t="s">
        <v>251</v>
      </c>
      <c r="U39" s="7" t="s">
        <v>875</v>
      </c>
      <c r="V39" s="7" t="s">
        <v>251</v>
      </c>
      <c r="W39" s="7" t="s">
        <v>2904</v>
      </c>
      <c r="Y39" s="7" t="s">
        <v>875</v>
      </c>
      <c r="Z39" s="7" t="s">
        <v>336</v>
      </c>
      <c r="AF39" s="7" t="s">
        <v>337</v>
      </c>
      <c r="AH39" s="7" t="s">
        <v>338</v>
      </c>
      <c r="AJ39" s="7" t="s">
        <v>251</v>
      </c>
      <c r="AK39" s="7" t="s">
        <v>404</v>
      </c>
      <c r="AN39" s="7" t="s">
        <v>334</v>
      </c>
      <c r="AQ39" s="7" t="s">
        <v>2907</v>
      </c>
      <c r="AS39" s="7" t="s">
        <v>738</v>
      </c>
      <c r="AU39" s="7" t="s">
        <v>753</v>
      </c>
      <c r="AW39" s="7" t="s">
        <v>749</v>
      </c>
      <c r="AZ39" s="7" t="s">
        <v>251</v>
      </c>
      <c r="BA39" s="14">
        <v>500000</v>
      </c>
      <c r="BD39" s="7" t="s">
        <v>251</v>
      </c>
      <c r="BE39" s="7" t="s">
        <v>876</v>
      </c>
      <c r="BF39" s="7" t="s">
        <v>251</v>
      </c>
      <c r="BG39" s="7" t="s">
        <v>2778</v>
      </c>
      <c r="BI39" s="7" t="s">
        <v>877</v>
      </c>
      <c r="BJ39" s="7" t="s">
        <v>336</v>
      </c>
      <c r="BP39" s="7" t="s">
        <v>337</v>
      </c>
      <c r="BR39" s="7" t="s">
        <v>756</v>
      </c>
      <c r="BU39" s="7" t="s">
        <v>338</v>
      </c>
      <c r="BW39" s="7" t="s">
        <v>356</v>
      </c>
      <c r="CE39" s="14"/>
    </row>
    <row r="40" spans="1:110" ht="38.25" x14ac:dyDescent="0.2">
      <c r="A40" s="6" t="s">
        <v>19</v>
      </c>
      <c r="B40" s="7" t="s">
        <v>251</v>
      </c>
      <c r="C40" s="7" t="s">
        <v>331</v>
      </c>
      <c r="D40" s="7" t="s">
        <v>2777</v>
      </c>
      <c r="F40" s="7" t="s">
        <v>334</v>
      </c>
      <c r="I40" s="7" t="s">
        <v>738</v>
      </c>
      <c r="J40" s="14"/>
      <c r="M40" s="7" t="s">
        <v>749</v>
      </c>
      <c r="P40" s="7" t="s">
        <v>251</v>
      </c>
      <c r="Q40" s="14">
        <v>750000</v>
      </c>
      <c r="R40" s="7" t="s">
        <v>334</v>
      </c>
      <c r="S40" s="7" t="s">
        <v>768</v>
      </c>
      <c r="T40" s="7" t="s">
        <v>334</v>
      </c>
      <c r="V40" s="7" t="s">
        <v>334</v>
      </c>
      <c r="Z40" s="7" t="s">
        <v>336</v>
      </c>
      <c r="AF40" s="7" t="s">
        <v>337</v>
      </c>
      <c r="AH40" s="7" t="s">
        <v>338</v>
      </c>
      <c r="AJ40" s="7" t="s">
        <v>251</v>
      </c>
      <c r="AK40" s="7" t="s">
        <v>331</v>
      </c>
      <c r="AL40" s="7" t="s">
        <v>2777</v>
      </c>
      <c r="AN40" s="7" t="s">
        <v>334</v>
      </c>
      <c r="AQ40" s="7" t="s">
        <v>2910</v>
      </c>
      <c r="AR40" s="7" t="s">
        <v>769</v>
      </c>
      <c r="AS40" s="7" t="s">
        <v>738</v>
      </c>
      <c r="AT40" s="14"/>
      <c r="AW40" s="7" t="s">
        <v>749</v>
      </c>
      <c r="AZ40" s="7" t="s">
        <v>251</v>
      </c>
      <c r="BA40" s="14">
        <v>750000</v>
      </c>
      <c r="BB40" s="7" t="s">
        <v>334</v>
      </c>
      <c r="BC40" s="7" t="s">
        <v>768</v>
      </c>
      <c r="BD40" s="7" t="s">
        <v>334</v>
      </c>
      <c r="BF40" s="7" t="s">
        <v>334</v>
      </c>
      <c r="BJ40" s="7" t="s">
        <v>336</v>
      </c>
      <c r="BP40" s="7" t="s">
        <v>337</v>
      </c>
      <c r="BR40" s="7" t="s">
        <v>756</v>
      </c>
      <c r="BU40" s="7" t="s">
        <v>338</v>
      </c>
      <c r="BW40" s="7" t="s">
        <v>356</v>
      </c>
      <c r="CE40" s="14"/>
    </row>
    <row r="41" spans="1:110" ht="89.25" x14ac:dyDescent="0.2">
      <c r="A41" s="6" t="s">
        <v>51</v>
      </c>
      <c r="B41" s="7" t="s">
        <v>251</v>
      </c>
      <c r="C41" s="7" t="s">
        <v>331</v>
      </c>
      <c r="D41" s="7" t="s">
        <v>2777</v>
      </c>
      <c r="F41" s="7" t="s">
        <v>334</v>
      </c>
      <c r="I41" s="7" t="s">
        <v>738</v>
      </c>
      <c r="K41" s="7" t="s">
        <v>753</v>
      </c>
      <c r="M41" s="7" t="s">
        <v>749</v>
      </c>
      <c r="P41" s="7" t="s">
        <v>251</v>
      </c>
      <c r="Q41" s="14">
        <v>1000000</v>
      </c>
      <c r="R41" s="7" t="s">
        <v>334</v>
      </c>
      <c r="S41" s="7" t="s">
        <v>866</v>
      </c>
      <c r="T41" s="7" t="s">
        <v>251</v>
      </c>
      <c r="U41" s="7" t="s">
        <v>867</v>
      </c>
      <c r="V41" s="7" t="s">
        <v>251</v>
      </c>
      <c r="W41" s="7" t="s">
        <v>2777</v>
      </c>
      <c r="Y41" s="7" t="s">
        <v>868</v>
      </c>
      <c r="Z41" s="7" t="s">
        <v>336</v>
      </c>
      <c r="AF41" s="7" t="s">
        <v>337</v>
      </c>
      <c r="AH41" s="7" t="s">
        <v>344</v>
      </c>
      <c r="AJ41" s="7" t="s">
        <v>251</v>
      </c>
      <c r="AK41" s="7" t="s">
        <v>404</v>
      </c>
      <c r="AN41" s="7" t="s">
        <v>334</v>
      </c>
      <c r="AQ41" s="7" t="s">
        <v>2907</v>
      </c>
      <c r="AS41" s="7" t="s">
        <v>738</v>
      </c>
      <c r="AU41" s="7" t="s">
        <v>753</v>
      </c>
      <c r="AW41" s="7" t="s">
        <v>749</v>
      </c>
      <c r="AZ41" s="7" t="s">
        <v>251</v>
      </c>
      <c r="BA41" s="14">
        <v>1000000</v>
      </c>
      <c r="BD41" s="7" t="s">
        <v>251</v>
      </c>
      <c r="BE41" s="7" t="s">
        <v>869</v>
      </c>
      <c r="BF41" s="7" t="s">
        <v>251</v>
      </c>
      <c r="BG41" s="7" t="s">
        <v>2777</v>
      </c>
      <c r="BI41" s="7" t="s">
        <v>870</v>
      </c>
      <c r="BJ41" s="7" t="s">
        <v>336</v>
      </c>
      <c r="BP41" s="7" t="s">
        <v>337</v>
      </c>
      <c r="BR41" s="7" t="s">
        <v>556</v>
      </c>
      <c r="BU41" s="7" t="s">
        <v>130</v>
      </c>
      <c r="BV41" s="7" t="s">
        <v>871</v>
      </c>
      <c r="BW41" s="7" t="s">
        <v>745</v>
      </c>
      <c r="CE41" s="14"/>
      <c r="CO41" s="7" t="s">
        <v>872</v>
      </c>
      <c r="CP41" s="7" t="s">
        <v>251</v>
      </c>
      <c r="CQ41" s="7" t="s">
        <v>2777</v>
      </c>
      <c r="CS41" s="7" t="s">
        <v>873</v>
      </c>
      <c r="DE41" s="7" t="s">
        <v>344</v>
      </c>
    </row>
    <row r="42" spans="1:110" ht="25.5" x14ac:dyDescent="0.2">
      <c r="A42" s="6" t="s">
        <v>47</v>
      </c>
      <c r="B42" s="7" t="s">
        <v>251</v>
      </c>
      <c r="C42" s="7" t="s">
        <v>331</v>
      </c>
      <c r="D42" s="7" t="s">
        <v>2777</v>
      </c>
      <c r="F42" s="7" t="s">
        <v>334</v>
      </c>
      <c r="I42" s="7" t="s">
        <v>738</v>
      </c>
      <c r="M42" s="7" t="s">
        <v>749</v>
      </c>
      <c r="Q42" s="14"/>
      <c r="R42" s="7" t="s">
        <v>334</v>
      </c>
      <c r="S42" s="7" t="s">
        <v>855</v>
      </c>
      <c r="T42" s="7" t="s">
        <v>251</v>
      </c>
      <c r="U42" s="7" t="s">
        <v>856</v>
      </c>
      <c r="V42" s="7" t="s">
        <v>251</v>
      </c>
      <c r="W42" s="7" t="s">
        <v>2905</v>
      </c>
      <c r="Y42" s="7" t="s">
        <v>856</v>
      </c>
      <c r="Z42" s="7" t="s">
        <v>336</v>
      </c>
      <c r="AF42" s="7" t="s">
        <v>337</v>
      </c>
      <c r="AH42" s="7" t="s">
        <v>338</v>
      </c>
      <c r="AJ42" s="7" t="s">
        <v>251</v>
      </c>
      <c r="AK42" s="7" t="s">
        <v>404</v>
      </c>
      <c r="AN42" s="7" t="s">
        <v>334</v>
      </c>
      <c r="AQ42" s="7" t="s">
        <v>2907</v>
      </c>
      <c r="AS42" s="7" t="s">
        <v>738</v>
      </c>
      <c r="AW42" s="7" t="s">
        <v>749</v>
      </c>
      <c r="BA42" s="14"/>
      <c r="BD42" s="7" t="s">
        <v>334</v>
      </c>
      <c r="BF42" s="7" t="s">
        <v>334</v>
      </c>
      <c r="BJ42" s="7" t="s">
        <v>336</v>
      </c>
      <c r="BP42" s="7" t="s">
        <v>337</v>
      </c>
      <c r="BR42" s="7" t="s">
        <v>756</v>
      </c>
      <c r="BU42" s="7" t="s">
        <v>338</v>
      </c>
      <c r="BW42" s="7" t="s">
        <v>356</v>
      </c>
      <c r="CE42" s="14"/>
    </row>
    <row r="43" spans="1:110" ht="38.25" x14ac:dyDescent="0.2">
      <c r="A43" s="6" t="s">
        <v>56</v>
      </c>
      <c r="B43" s="7" t="s">
        <v>251</v>
      </c>
      <c r="C43" s="7" t="s">
        <v>331</v>
      </c>
      <c r="D43" s="7" t="s">
        <v>2777</v>
      </c>
      <c r="F43" s="7" t="s">
        <v>334</v>
      </c>
      <c r="I43" s="7" t="s">
        <v>738</v>
      </c>
      <c r="K43" s="7" t="s">
        <v>2896</v>
      </c>
      <c r="M43" s="7" t="s">
        <v>749</v>
      </c>
      <c r="P43" s="7" t="s">
        <v>251</v>
      </c>
      <c r="Q43" s="14">
        <v>650000</v>
      </c>
      <c r="R43" s="7" t="s">
        <v>334</v>
      </c>
      <c r="S43" s="7" t="s">
        <v>883</v>
      </c>
      <c r="T43" s="7" t="s">
        <v>251</v>
      </c>
      <c r="U43" s="7" t="s">
        <v>884</v>
      </c>
      <c r="V43" s="7" t="s">
        <v>251</v>
      </c>
      <c r="W43" s="7" t="s">
        <v>2904</v>
      </c>
      <c r="Y43" s="7" t="s">
        <v>885</v>
      </c>
      <c r="Z43" s="7" t="s">
        <v>336</v>
      </c>
      <c r="AF43" s="7" t="s">
        <v>337</v>
      </c>
      <c r="AH43" s="7" t="s">
        <v>344</v>
      </c>
      <c r="AJ43" s="7" t="s">
        <v>251</v>
      </c>
      <c r="AK43" s="7" t="s">
        <v>404</v>
      </c>
      <c r="AN43" s="7" t="s">
        <v>334</v>
      </c>
      <c r="AQ43" s="7" t="s">
        <v>2906</v>
      </c>
      <c r="AS43" s="7" t="s">
        <v>738</v>
      </c>
      <c r="AU43" s="7" t="s">
        <v>2896</v>
      </c>
      <c r="AW43" s="7" t="s">
        <v>749</v>
      </c>
      <c r="AZ43" s="7" t="s">
        <v>251</v>
      </c>
      <c r="BA43" s="14">
        <v>650000</v>
      </c>
      <c r="BD43" s="7" t="s">
        <v>334</v>
      </c>
      <c r="BF43" s="7" t="s">
        <v>334</v>
      </c>
      <c r="BJ43" s="7" t="s">
        <v>336</v>
      </c>
      <c r="BP43" s="7" t="s">
        <v>337</v>
      </c>
      <c r="BR43" s="7" t="s">
        <v>756</v>
      </c>
      <c r="BU43" s="7" t="s">
        <v>344</v>
      </c>
      <c r="BW43" s="7" t="s">
        <v>356</v>
      </c>
      <c r="CE43" s="14"/>
    </row>
    <row r="44" spans="1:110" ht="38.25" x14ac:dyDescent="0.2">
      <c r="A44" s="6" t="s">
        <v>62</v>
      </c>
      <c r="B44" s="7" t="s">
        <v>251</v>
      </c>
      <c r="C44" s="7" t="s">
        <v>331</v>
      </c>
      <c r="D44" s="7" t="s">
        <v>2777</v>
      </c>
      <c r="F44" s="7" t="s">
        <v>334</v>
      </c>
      <c r="I44" s="7" t="s">
        <v>738</v>
      </c>
      <c r="K44" s="7" t="s">
        <v>2898</v>
      </c>
      <c r="M44" s="7" t="s">
        <v>749</v>
      </c>
      <c r="P44" s="7" t="s">
        <v>251</v>
      </c>
      <c r="Q44" s="14">
        <v>1150000</v>
      </c>
      <c r="R44" s="7" t="s">
        <v>334</v>
      </c>
      <c r="S44" s="7" t="s">
        <v>893</v>
      </c>
      <c r="T44" s="7" t="s">
        <v>251</v>
      </c>
      <c r="U44" s="7" t="s">
        <v>894</v>
      </c>
      <c r="V44" s="7" t="s">
        <v>251</v>
      </c>
      <c r="W44" s="7" t="s">
        <v>2904</v>
      </c>
      <c r="Y44" s="7" t="s">
        <v>895</v>
      </c>
      <c r="Z44" s="7" t="s">
        <v>336</v>
      </c>
      <c r="AF44" s="7" t="s">
        <v>337</v>
      </c>
      <c r="AH44" s="7" t="s">
        <v>350</v>
      </c>
      <c r="AJ44" s="7" t="s">
        <v>251</v>
      </c>
      <c r="AK44" s="7" t="s">
        <v>404</v>
      </c>
      <c r="AN44" s="7" t="s">
        <v>334</v>
      </c>
      <c r="AQ44" s="7" t="s">
        <v>2906</v>
      </c>
      <c r="AS44" s="7" t="s">
        <v>738</v>
      </c>
      <c r="AU44" s="7" t="s">
        <v>2898</v>
      </c>
      <c r="AW44" s="7" t="s">
        <v>749</v>
      </c>
      <c r="AZ44" s="7" t="s">
        <v>334</v>
      </c>
      <c r="BA44" s="14"/>
      <c r="BD44" s="7" t="s">
        <v>334</v>
      </c>
      <c r="BF44" s="7" t="s">
        <v>334</v>
      </c>
      <c r="BJ44" s="7" t="s">
        <v>336</v>
      </c>
      <c r="BP44" s="7" t="s">
        <v>337</v>
      </c>
      <c r="BR44" s="7" t="s">
        <v>756</v>
      </c>
      <c r="BU44" s="7" t="s">
        <v>350</v>
      </c>
      <c r="BW44" s="7" t="s">
        <v>356</v>
      </c>
      <c r="CE44" s="14"/>
    </row>
    <row r="45" spans="1:110" ht="38.25" x14ac:dyDescent="0.2">
      <c r="A45" s="6" t="s">
        <v>21</v>
      </c>
      <c r="B45" s="7" t="s">
        <v>251</v>
      </c>
      <c r="C45" s="7" t="s">
        <v>331</v>
      </c>
      <c r="D45" s="7" t="s">
        <v>2777</v>
      </c>
      <c r="F45" s="7" t="s">
        <v>334</v>
      </c>
      <c r="I45" s="7" t="s">
        <v>738</v>
      </c>
      <c r="J45" s="14"/>
      <c r="K45" s="7" t="s">
        <v>753</v>
      </c>
      <c r="M45" s="7" t="s">
        <v>749</v>
      </c>
      <c r="P45" s="7" t="s">
        <v>251</v>
      </c>
      <c r="Q45" s="14">
        <v>750000</v>
      </c>
      <c r="R45" s="7" t="s">
        <v>334</v>
      </c>
      <c r="S45" s="7" t="s">
        <v>773</v>
      </c>
      <c r="T45" s="7" t="s">
        <v>251</v>
      </c>
      <c r="U45" s="7" t="s">
        <v>774</v>
      </c>
      <c r="V45" s="7" t="s">
        <v>251</v>
      </c>
      <c r="W45" s="7" t="s">
        <v>2777</v>
      </c>
      <c r="Y45" s="7" t="s">
        <v>774</v>
      </c>
      <c r="Z45" s="7" t="s">
        <v>336</v>
      </c>
      <c r="AF45" s="7" t="s">
        <v>343</v>
      </c>
      <c r="AH45" s="7" t="s">
        <v>338</v>
      </c>
      <c r="AJ45" s="7" t="s">
        <v>251</v>
      </c>
      <c r="AK45" s="7" t="s">
        <v>331</v>
      </c>
      <c r="AL45" s="7" t="s">
        <v>2777</v>
      </c>
      <c r="AN45" s="7" t="s">
        <v>334</v>
      </c>
      <c r="AQ45" s="7" t="s">
        <v>2906</v>
      </c>
      <c r="AS45" s="7" t="s">
        <v>738</v>
      </c>
      <c r="AT45" s="14"/>
      <c r="AU45" s="7" t="s">
        <v>753</v>
      </c>
      <c r="AW45" s="7" t="s">
        <v>749</v>
      </c>
      <c r="AZ45" s="7" t="s">
        <v>251</v>
      </c>
      <c r="BA45" s="14">
        <v>750000</v>
      </c>
      <c r="BB45" s="7" t="s">
        <v>334</v>
      </c>
      <c r="BC45" s="7" t="s">
        <v>775</v>
      </c>
      <c r="BD45" s="7" t="s">
        <v>251</v>
      </c>
      <c r="BE45" s="7" t="s">
        <v>776</v>
      </c>
      <c r="BF45" s="7" t="s">
        <v>345</v>
      </c>
      <c r="BJ45" s="7" t="s">
        <v>336</v>
      </c>
      <c r="BP45" s="7" t="s">
        <v>343</v>
      </c>
      <c r="BU45" s="7" t="s">
        <v>338</v>
      </c>
      <c r="BW45" s="7" t="s">
        <v>356</v>
      </c>
      <c r="CE45" s="14"/>
    </row>
    <row r="46" spans="1:110" ht="38.25" x14ac:dyDescent="0.2">
      <c r="A46" s="6" t="s">
        <v>12</v>
      </c>
      <c r="B46" s="7" t="s">
        <v>251</v>
      </c>
      <c r="C46" s="7" t="s">
        <v>404</v>
      </c>
      <c r="F46" s="7" t="s">
        <v>334</v>
      </c>
      <c r="I46" s="7" t="s">
        <v>738</v>
      </c>
      <c r="J46" s="14"/>
      <c r="K46" s="7" t="s">
        <v>2909</v>
      </c>
      <c r="L46" s="7" t="s">
        <v>748</v>
      </c>
      <c r="M46" s="7" t="s">
        <v>749</v>
      </c>
      <c r="P46" s="7" t="s">
        <v>251</v>
      </c>
      <c r="Q46" s="14">
        <v>1000000</v>
      </c>
      <c r="T46" s="7" t="s">
        <v>251</v>
      </c>
      <c r="U46" s="7" t="s">
        <v>750</v>
      </c>
      <c r="V46" s="7" t="s">
        <v>251</v>
      </c>
      <c r="W46" s="7" t="s">
        <v>2777</v>
      </c>
      <c r="Y46" s="7" t="s">
        <v>751</v>
      </c>
      <c r="Z46" s="7" t="s">
        <v>616</v>
      </c>
      <c r="AF46" s="7" t="s">
        <v>343</v>
      </c>
      <c r="AJ46" s="7" t="s">
        <v>251</v>
      </c>
      <c r="AK46" s="7" t="s">
        <v>404</v>
      </c>
      <c r="AN46" s="7" t="s">
        <v>334</v>
      </c>
      <c r="AQ46" s="7" t="s">
        <v>2906</v>
      </c>
      <c r="AS46" s="7" t="s">
        <v>738</v>
      </c>
      <c r="AT46" s="14"/>
      <c r="AU46" s="7" t="s">
        <v>2909</v>
      </c>
      <c r="AV46" s="7" t="s">
        <v>748</v>
      </c>
      <c r="AW46" s="7" t="s">
        <v>749</v>
      </c>
      <c r="AZ46" s="7" t="s">
        <v>334</v>
      </c>
      <c r="BA46" s="14"/>
      <c r="BD46" s="7" t="s">
        <v>251</v>
      </c>
      <c r="BE46" s="7" t="s">
        <v>752</v>
      </c>
      <c r="BF46" s="7" t="s">
        <v>251</v>
      </c>
      <c r="BG46" s="7" t="s">
        <v>2777</v>
      </c>
      <c r="BJ46" s="7" t="s">
        <v>336</v>
      </c>
      <c r="BP46" s="7" t="s">
        <v>343</v>
      </c>
      <c r="BW46" s="7" t="s">
        <v>356</v>
      </c>
      <c r="CE46" s="14"/>
    </row>
    <row r="47" spans="1:110" ht="38.25" x14ac:dyDescent="0.2">
      <c r="A47" s="6" t="s">
        <v>64</v>
      </c>
      <c r="B47" s="7" t="s">
        <v>251</v>
      </c>
      <c r="C47" s="7" t="s">
        <v>404</v>
      </c>
      <c r="F47" s="7" t="s">
        <v>334</v>
      </c>
      <c r="I47" s="7" t="s">
        <v>738</v>
      </c>
      <c r="K47" s="7" t="s">
        <v>753</v>
      </c>
      <c r="M47" s="7" t="s">
        <v>749</v>
      </c>
      <c r="P47" s="7" t="s">
        <v>334</v>
      </c>
      <c r="Q47" s="14"/>
      <c r="T47" s="7" t="s">
        <v>334</v>
      </c>
      <c r="V47" s="7" t="s">
        <v>334</v>
      </c>
      <c r="Z47" s="7" t="s">
        <v>336</v>
      </c>
      <c r="AF47" s="7" t="s">
        <v>337</v>
      </c>
      <c r="AH47" s="7" t="s">
        <v>338</v>
      </c>
      <c r="AJ47" s="7" t="s">
        <v>251</v>
      </c>
      <c r="AK47" s="7" t="s">
        <v>404</v>
      </c>
      <c r="AN47" s="7" t="s">
        <v>334</v>
      </c>
      <c r="AQ47" s="7" t="s">
        <v>2906</v>
      </c>
      <c r="AS47" s="7" t="s">
        <v>738</v>
      </c>
      <c r="AU47" s="7" t="s">
        <v>753</v>
      </c>
      <c r="AW47" s="7" t="s">
        <v>749</v>
      </c>
      <c r="AZ47" s="7" t="s">
        <v>251</v>
      </c>
      <c r="BA47" s="14">
        <v>500000</v>
      </c>
      <c r="BD47" s="7" t="s">
        <v>334</v>
      </c>
      <c r="BF47" s="7" t="s">
        <v>334</v>
      </c>
      <c r="BJ47" s="7" t="s">
        <v>336</v>
      </c>
      <c r="BP47" s="7" t="s">
        <v>337</v>
      </c>
      <c r="BR47" s="7" t="s">
        <v>556</v>
      </c>
      <c r="BU47" s="7" t="s">
        <v>338</v>
      </c>
      <c r="BW47" s="7" t="s">
        <v>356</v>
      </c>
      <c r="CE47" s="14"/>
    </row>
    <row r="48" spans="1:110" ht="38.25" x14ac:dyDescent="0.2">
      <c r="A48" s="6" t="s">
        <v>38</v>
      </c>
      <c r="B48" s="7" t="s">
        <v>251</v>
      </c>
      <c r="C48" s="7" t="s">
        <v>404</v>
      </c>
      <c r="F48" s="7" t="s">
        <v>334</v>
      </c>
      <c r="I48" s="7" t="s">
        <v>738</v>
      </c>
      <c r="J48" s="14"/>
      <c r="K48" s="7" t="s">
        <v>2899</v>
      </c>
      <c r="M48" s="7" t="s">
        <v>749</v>
      </c>
      <c r="P48" s="7" t="s">
        <v>251</v>
      </c>
      <c r="Q48" s="14">
        <v>1500000</v>
      </c>
      <c r="T48" s="7" t="s">
        <v>251</v>
      </c>
      <c r="U48" s="7" t="s">
        <v>825</v>
      </c>
      <c r="V48" s="7" t="s">
        <v>251</v>
      </c>
      <c r="W48" s="7" t="s">
        <v>2777</v>
      </c>
      <c r="Y48" s="7" t="s">
        <v>826</v>
      </c>
      <c r="Z48" s="7" t="s">
        <v>336</v>
      </c>
      <c r="AF48" s="7" t="s">
        <v>337</v>
      </c>
      <c r="AH48" s="7" t="s">
        <v>130</v>
      </c>
      <c r="AI48" s="7" t="s">
        <v>398</v>
      </c>
      <c r="AJ48" s="7" t="s">
        <v>334</v>
      </c>
      <c r="AT48" s="14"/>
      <c r="BA48" s="14"/>
      <c r="BD48" s="7" t="s">
        <v>251</v>
      </c>
      <c r="BE48" s="7" t="s">
        <v>827</v>
      </c>
      <c r="BF48" s="7" t="s">
        <v>251</v>
      </c>
      <c r="BG48" s="7" t="s">
        <v>2777</v>
      </c>
      <c r="BI48" s="7" t="s">
        <v>828</v>
      </c>
      <c r="BP48" s="7" t="s">
        <v>337</v>
      </c>
      <c r="BR48" s="7" t="s">
        <v>556</v>
      </c>
      <c r="BU48" s="7" t="s">
        <v>130</v>
      </c>
      <c r="BV48" s="7" t="s">
        <v>398</v>
      </c>
      <c r="BW48" s="7" t="s">
        <v>745</v>
      </c>
      <c r="CE48" s="14"/>
      <c r="CO48" s="7" t="s">
        <v>829</v>
      </c>
      <c r="CP48" s="7" t="s">
        <v>251</v>
      </c>
      <c r="CQ48" s="7" t="s">
        <v>2777</v>
      </c>
      <c r="CS48" s="7" t="s">
        <v>830</v>
      </c>
      <c r="DE48" s="7" t="s">
        <v>130</v>
      </c>
      <c r="DF48" s="7" t="s">
        <v>398</v>
      </c>
    </row>
    <row r="49" spans="1:110" ht="25.5" x14ac:dyDescent="0.2">
      <c r="A49" s="6" t="s">
        <v>41</v>
      </c>
      <c r="B49" s="7" t="s">
        <v>251</v>
      </c>
      <c r="C49" s="7" t="s">
        <v>331</v>
      </c>
      <c r="D49" s="7" t="s">
        <v>2777</v>
      </c>
      <c r="F49" s="7" t="s">
        <v>334</v>
      </c>
      <c r="I49" s="7" t="s">
        <v>738</v>
      </c>
      <c r="J49" s="14"/>
      <c r="K49" s="7" t="s">
        <v>753</v>
      </c>
      <c r="M49" s="7" t="s">
        <v>749</v>
      </c>
      <c r="P49" s="7" t="s">
        <v>251</v>
      </c>
      <c r="Q49" s="14">
        <v>750000</v>
      </c>
      <c r="R49" s="7" t="s">
        <v>334</v>
      </c>
      <c r="S49" s="7" t="s">
        <v>838</v>
      </c>
      <c r="T49" s="7" t="s">
        <v>334</v>
      </c>
      <c r="V49" s="7" t="s">
        <v>334</v>
      </c>
      <c r="Z49" s="7" t="s">
        <v>336</v>
      </c>
      <c r="AF49" s="7" t="s">
        <v>337</v>
      </c>
      <c r="AH49" s="7" t="s">
        <v>338</v>
      </c>
      <c r="AJ49" s="7" t="s">
        <v>251</v>
      </c>
      <c r="AK49" s="7" t="s">
        <v>404</v>
      </c>
      <c r="AN49" s="7" t="s">
        <v>334</v>
      </c>
      <c r="AQ49" s="7" t="s">
        <v>2907</v>
      </c>
      <c r="AS49" s="7" t="s">
        <v>738</v>
      </c>
      <c r="AT49" s="14"/>
      <c r="AU49" s="7" t="s">
        <v>753</v>
      </c>
      <c r="AW49" s="7" t="s">
        <v>749</v>
      </c>
      <c r="AZ49" s="7" t="s">
        <v>251</v>
      </c>
      <c r="BA49" s="14">
        <v>750000</v>
      </c>
      <c r="BD49" s="7" t="s">
        <v>334</v>
      </c>
      <c r="BF49" s="7" t="s">
        <v>334</v>
      </c>
      <c r="BJ49" s="7" t="s">
        <v>336</v>
      </c>
      <c r="BP49" s="7" t="s">
        <v>337</v>
      </c>
      <c r="BR49" s="7" t="s">
        <v>756</v>
      </c>
      <c r="BU49" s="7" t="s">
        <v>338</v>
      </c>
      <c r="BW49" s="7" t="s">
        <v>356</v>
      </c>
      <c r="CE49" s="14"/>
    </row>
    <row r="50" spans="1:110" ht="51" x14ac:dyDescent="0.2">
      <c r="A50" s="6" t="s">
        <v>29</v>
      </c>
      <c r="B50" s="7" t="s">
        <v>251</v>
      </c>
      <c r="C50" s="7" t="s">
        <v>404</v>
      </c>
      <c r="F50" s="7" t="s">
        <v>371</v>
      </c>
      <c r="H50" s="7" t="s">
        <v>568</v>
      </c>
      <c r="I50" s="7" t="s">
        <v>738</v>
      </c>
      <c r="J50" s="14"/>
      <c r="K50" s="7" t="s">
        <v>753</v>
      </c>
      <c r="M50" s="7" t="s">
        <v>749</v>
      </c>
      <c r="P50" s="7" t="s">
        <v>251</v>
      </c>
      <c r="Q50" s="14">
        <v>1000000</v>
      </c>
      <c r="T50" s="7" t="s">
        <v>251</v>
      </c>
      <c r="U50" s="7" t="s">
        <v>795</v>
      </c>
      <c r="V50" s="7" t="s">
        <v>251</v>
      </c>
      <c r="W50" s="7" t="s">
        <v>2904</v>
      </c>
      <c r="Y50" s="7" t="s">
        <v>795</v>
      </c>
      <c r="Z50" s="7" t="s">
        <v>336</v>
      </c>
      <c r="AF50" s="7" t="s">
        <v>337</v>
      </c>
      <c r="AH50" s="7" t="s">
        <v>338</v>
      </c>
      <c r="AJ50" s="7" t="s">
        <v>251</v>
      </c>
      <c r="AK50" s="7" t="s">
        <v>404</v>
      </c>
      <c r="AN50" s="7" t="s">
        <v>371</v>
      </c>
      <c r="AP50" s="7" t="s">
        <v>568</v>
      </c>
      <c r="AQ50" s="7" t="s">
        <v>2907</v>
      </c>
      <c r="AS50" s="7" t="s">
        <v>738</v>
      </c>
      <c r="AT50" s="14"/>
      <c r="AU50" s="7" t="s">
        <v>753</v>
      </c>
      <c r="AW50" s="7" t="s">
        <v>749</v>
      </c>
      <c r="AZ50" s="7" t="s">
        <v>251</v>
      </c>
      <c r="BA50" s="14">
        <v>1000000</v>
      </c>
      <c r="BD50" s="7" t="s">
        <v>334</v>
      </c>
      <c r="BF50" s="7" t="s">
        <v>334</v>
      </c>
      <c r="BJ50" s="7" t="s">
        <v>336</v>
      </c>
      <c r="BP50" s="7" t="s">
        <v>337</v>
      </c>
      <c r="BR50" s="7" t="s">
        <v>556</v>
      </c>
      <c r="BU50" s="7" t="s">
        <v>130</v>
      </c>
      <c r="BV50" s="7" t="s">
        <v>796</v>
      </c>
      <c r="BW50" s="7" t="s">
        <v>745</v>
      </c>
      <c r="CE50" s="14"/>
      <c r="CO50" s="7" t="s">
        <v>797</v>
      </c>
      <c r="CP50" s="7" t="s">
        <v>251</v>
      </c>
      <c r="CQ50" s="7" t="s">
        <v>2777</v>
      </c>
      <c r="CS50" s="7" t="s">
        <v>798</v>
      </c>
      <c r="DE50" s="7" t="s">
        <v>130</v>
      </c>
      <c r="DF50" s="7" t="s">
        <v>796</v>
      </c>
    </row>
    <row r="51" spans="1:110" ht="76.5" x14ac:dyDescent="0.2">
      <c r="A51" s="6" t="s">
        <v>17</v>
      </c>
      <c r="B51" s="7" t="s">
        <v>251</v>
      </c>
      <c r="C51" s="7" t="s">
        <v>404</v>
      </c>
      <c r="F51" s="7" t="s">
        <v>334</v>
      </c>
      <c r="I51" s="7" t="s">
        <v>380</v>
      </c>
      <c r="J51" s="14"/>
      <c r="O51" s="7" t="s">
        <v>758</v>
      </c>
      <c r="Q51" s="14"/>
      <c r="T51" s="7" t="s">
        <v>251</v>
      </c>
      <c r="U51" s="7" t="s">
        <v>759</v>
      </c>
      <c r="V51" s="7" t="s">
        <v>251</v>
      </c>
      <c r="W51" s="7" t="s">
        <v>2778</v>
      </c>
      <c r="Y51" s="7" t="s">
        <v>760</v>
      </c>
      <c r="Z51" s="7" t="s">
        <v>336</v>
      </c>
      <c r="AF51" s="7" t="s">
        <v>343</v>
      </c>
      <c r="AH51" s="7" t="s">
        <v>355</v>
      </c>
      <c r="AJ51" s="7" t="s">
        <v>251</v>
      </c>
      <c r="AK51" s="7" t="s">
        <v>404</v>
      </c>
      <c r="AN51" s="7" t="s">
        <v>334</v>
      </c>
      <c r="AQ51" s="7" t="s">
        <v>2906</v>
      </c>
      <c r="AS51" s="7" t="s">
        <v>380</v>
      </c>
      <c r="AT51" s="14"/>
      <c r="AY51" s="7" t="s">
        <v>761</v>
      </c>
      <c r="BA51" s="14"/>
      <c r="BD51" s="7" t="s">
        <v>251</v>
      </c>
      <c r="BE51" s="7" t="s">
        <v>762</v>
      </c>
      <c r="BF51" s="7" t="s">
        <v>251</v>
      </c>
      <c r="BG51" s="7" t="s">
        <v>2778</v>
      </c>
      <c r="BI51" s="7" t="s">
        <v>763</v>
      </c>
      <c r="BJ51" s="7" t="s">
        <v>336</v>
      </c>
      <c r="BP51" s="7" t="s">
        <v>343</v>
      </c>
      <c r="BU51" s="7" t="s">
        <v>355</v>
      </c>
      <c r="BW51" s="7" t="s">
        <v>764</v>
      </c>
      <c r="BX51" s="7" t="s">
        <v>331</v>
      </c>
      <c r="BY51" s="7" t="s">
        <v>2777</v>
      </c>
      <c r="CA51" s="7" t="s">
        <v>334</v>
      </c>
      <c r="CD51" s="7" t="s">
        <v>380</v>
      </c>
      <c r="CE51" s="14"/>
      <c r="CJ51" s="7" t="s">
        <v>765</v>
      </c>
      <c r="CM51" s="7" t="s">
        <v>251</v>
      </c>
      <c r="CT51" s="7" t="s">
        <v>336</v>
      </c>
      <c r="CZ51" s="7" t="s">
        <v>343</v>
      </c>
      <c r="DE51" s="7" t="s">
        <v>355</v>
      </c>
    </row>
    <row r="52" spans="1:110" ht="38.25" x14ac:dyDescent="0.2">
      <c r="A52" s="6" t="s">
        <v>22</v>
      </c>
      <c r="B52" s="7" t="s">
        <v>251</v>
      </c>
      <c r="C52" s="7" t="s">
        <v>404</v>
      </c>
      <c r="F52" s="7" t="s">
        <v>334</v>
      </c>
      <c r="I52" s="7" t="s">
        <v>738</v>
      </c>
      <c r="J52" s="14"/>
      <c r="K52" s="7" t="s">
        <v>2899</v>
      </c>
      <c r="M52" s="7" t="s">
        <v>749</v>
      </c>
      <c r="P52" s="7" t="s">
        <v>251</v>
      </c>
      <c r="Q52" s="14">
        <v>500000</v>
      </c>
      <c r="T52" s="7" t="s">
        <v>251</v>
      </c>
      <c r="U52" s="7" t="s">
        <v>778</v>
      </c>
      <c r="V52" s="7" t="s">
        <v>251</v>
      </c>
      <c r="W52" s="7" t="s">
        <v>2777</v>
      </c>
      <c r="Y52" s="7" t="s">
        <v>779</v>
      </c>
      <c r="Z52" s="7" t="s">
        <v>336</v>
      </c>
      <c r="AF52" s="7" t="s">
        <v>337</v>
      </c>
      <c r="AH52" s="7" t="s">
        <v>338</v>
      </c>
      <c r="AJ52" s="7" t="s">
        <v>251</v>
      </c>
      <c r="AK52" s="7" t="s">
        <v>404</v>
      </c>
      <c r="AN52" s="7" t="s">
        <v>334</v>
      </c>
      <c r="AQ52" s="7" t="s">
        <v>2906</v>
      </c>
      <c r="AS52" s="7" t="s">
        <v>738</v>
      </c>
      <c r="AT52" s="14"/>
      <c r="AU52" s="7" t="s">
        <v>2899</v>
      </c>
      <c r="AW52" s="7" t="s">
        <v>749</v>
      </c>
      <c r="AZ52" s="7" t="s">
        <v>251</v>
      </c>
      <c r="BA52" s="14">
        <v>500000</v>
      </c>
      <c r="BD52" s="7" t="s">
        <v>334</v>
      </c>
      <c r="BF52" s="7" t="s">
        <v>334</v>
      </c>
      <c r="BJ52" s="7" t="s">
        <v>336</v>
      </c>
      <c r="BP52" s="7" t="s">
        <v>337</v>
      </c>
      <c r="BR52" s="7" t="s">
        <v>556</v>
      </c>
      <c r="BU52" s="7" t="s">
        <v>338</v>
      </c>
      <c r="BW52" s="7" t="s">
        <v>356</v>
      </c>
      <c r="CE52" s="14"/>
    </row>
    <row r="53" spans="1:110" ht="25.5" x14ac:dyDescent="0.2">
      <c r="A53" s="6" t="s">
        <v>53</v>
      </c>
      <c r="B53" s="7" t="s">
        <v>251</v>
      </c>
      <c r="C53" s="7" t="s">
        <v>331</v>
      </c>
      <c r="D53" s="7" t="s">
        <v>2777</v>
      </c>
      <c r="F53" s="7" t="s">
        <v>334</v>
      </c>
      <c r="I53" s="7" t="s">
        <v>738</v>
      </c>
      <c r="K53" s="7" t="s">
        <v>2898</v>
      </c>
      <c r="M53" s="7" t="s">
        <v>749</v>
      </c>
      <c r="P53" s="7" t="s">
        <v>251</v>
      </c>
      <c r="Q53" s="14">
        <v>500000</v>
      </c>
      <c r="R53" s="7" t="s">
        <v>334</v>
      </c>
      <c r="S53" s="7" t="s">
        <v>878</v>
      </c>
      <c r="T53" s="7" t="s">
        <v>334</v>
      </c>
      <c r="V53" s="7" t="s">
        <v>334</v>
      </c>
      <c r="Z53" s="7" t="s">
        <v>336</v>
      </c>
      <c r="AF53" s="7" t="s">
        <v>337</v>
      </c>
      <c r="AH53" s="7" t="s">
        <v>338</v>
      </c>
      <c r="AJ53" s="7" t="s">
        <v>251</v>
      </c>
      <c r="AK53" s="7" t="s">
        <v>404</v>
      </c>
      <c r="AN53" s="7" t="s">
        <v>334</v>
      </c>
      <c r="AQ53" s="7" t="s">
        <v>2907</v>
      </c>
      <c r="AS53" s="7" t="s">
        <v>738</v>
      </c>
      <c r="AU53" s="7" t="s">
        <v>2898</v>
      </c>
      <c r="AW53" s="7" t="s">
        <v>749</v>
      </c>
      <c r="AZ53" s="7" t="s">
        <v>251</v>
      </c>
      <c r="BA53" s="14">
        <v>500000</v>
      </c>
      <c r="BD53" s="7" t="s">
        <v>334</v>
      </c>
      <c r="BF53" s="7" t="s">
        <v>334</v>
      </c>
      <c r="BJ53" s="7" t="s">
        <v>336</v>
      </c>
      <c r="BP53" s="7" t="s">
        <v>337</v>
      </c>
      <c r="BR53" s="7" t="s">
        <v>556</v>
      </c>
      <c r="BU53" s="7" t="s">
        <v>338</v>
      </c>
      <c r="BW53" s="7" t="s">
        <v>356</v>
      </c>
      <c r="CE53" s="14"/>
    </row>
    <row r="54" spans="1:110" ht="51" x14ac:dyDescent="0.2">
      <c r="A54" s="6" t="s">
        <v>43</v>
      </c>
      <c r="B54" s="7" t="s">
        <v>251</v>
      </c>
      <c r="C54" s="7" t="s">
        <v>331</v>
      </c>
      <c r="D54" s="7" t="s">
        <v>2777</v>
      </c>
      <c r="F54" s="7" t="s">
        <v>334</v>
      </c>
      <c r="I54" s="7" t="s">
        <v>738</v>
      </c>
      <c r="J54" s="14"/>
      <c r="K54" s="7" t="s">
        <v>2896</v>
      </c>
      <c r="M54" s="7" t="s">
        <v>740</v>
      </c>
      <c r="P54" s="7" t="s">
        <v>251</v>
      </c>
      <c r="Q54" s="14">
        <v>1000000</v>
      </c>
      <c r="R54" s="7" t="s">
        <v>334</v>
      </c>
      <c r="S54" s="7" t="s">
        <v>843</v>
      </c>
      <c r="T54" s="7" t="s">
        <v>251</v>
      </c>
      <c r="U54" s="7" t="s">
        <v>844</v>
      </c>
      <c r="V54" s="7" t="s">
        <v>251</v>
      </c>
      <c r="W54" s="7" t="s">
        <v>743</v>
      </c>
      <c r="Y54" s="7" t="s">
        <v>844</v>
      </c>
      <c r="Z54" s="7" t="s">
        <v>336</v>
      </c>
      <c r="AF54" s="7" t="s">
        <v>337</v>
      </c>
      <c r="AH54" s="7" t="s">
        <v>350</v>
      </c>
      <c r="AJ54" s="7" t="s">
        <v>251</v>
      </c>
      <c r="AK54" s="7" t="s">
        <v>404</v>
      </c>
      <c r="AN54" s="7" t="s">
        <v>334</v>
      </c>
      <c r="AQ54" s="7" t="s">
        <v>2906</v>
      </c>
      <c r="AS54" s="7" t="s">
        <v>738</v>
      </c>
      <c r="AT54" s="14"/>
      <c r="AU54" s="7" t="s">
        <v>2896</v>
      </c>
      <c r="AW54" s="7" t="s">
        <v>740</v>
      </c>
      <c r="AZ54" s="7" t="s">
        <v>251</v>
      </c>
      <c r="BA54" s="14">
        <v>1000000</v>
      </c>
      <c r="BD54" s="7" t="s">
        <v>334</v>
      </c>
      <c r="BF54" s="7" t="s">
        <v>334</v>
      </c>
      <c r="BJ54" s="7" t="s">
        <v>336</v>
      </c>
      <c r="BP54" s="7" t="s">
        <v>337</v>
      </c>
      <c r="BR54" s="7" t="s">
        <v>620</v>
      </c>
      <c r="BT54" s="7" t="s">
        <v>845</v>
      </c>
      <c r="BU54" s="7" t="s">
        <v>350</v>
      </c>
      <c r="BW54" s="7" t="s">
        <v>356</v>
      </c>
      <c r="CE54" s="14"/>
    </row>
    <row r="55" spans="1:110" ht="38.25" x14ac:dyDescent="0.2">
      <c r="A55" s="6" t="s">
        <v>61</v>
      </c>
      <c r="B55" s="7" t="s">
        <v>251</v>
      </c>
      <c r="C55" s="7" t="s">
        <v>331</v>
      </c>
      <c r="D55" s="7" t="s">
        <v>2778</v>
      </c>
      <c r="F55" s="7" t="s">
        <v>334</v>
      </c>
      <c r="I55" s="7" t="s">
        <v>738</v>
      </c>
      <c r="K55" s="7" t="s">
        <v>753</v>
      </c>
      <c r="M55" s="7" t="s">
        <v>749</v>
      </c>
      <c r="P55" s="7" t="s">
        <v>251</v>
      </c>
      <c r="Q55" s="14">
        <v>500000</v>
      </c>
      <c r="R55" s="7" t="s">
        <v>334</v>
      </c>
      <c r="S55" s="7" t="s">
        <v>891</v>
      </c>
      <c r="T55" s="7" t="s">
        <v>334</v>
      </c>
      <c r="Z55" s="7" t="s">
        <v>336</v>
      </c>
      <c r="AF55" s="7" t="s">
        <v>337</v>
      </c>
      <c r="AH55" s="7" t="s">
        <v>338</v>
      </c>
      <c r="AJ55" s="7" t="s">
        <v>251</v>
      </c>
      <c r="AK55" s="7" t="s">
        <v>404</v>
      </c>
      <c r="AN55" s="7" t="s">
        <v>334</v>
      </c>
      <c r="AQ55" s="7" t="s">
        <v>2910</v>
      </c>
      <c r="AR55" s="7" t="s">
        <v>892</v>
      </c>
      <c r="AS55" s="7" t="s">
        <v>738</v>
      </c>
      <c r="AU55" s="7" t="s">
        <v>753</v>
      </c>
      <c r="AW55" s="7" t="s">
        <v>749</v>
      </c>
      <c r="AZ55" s="7" t="s">
        <v>251</v>
      </c>
      <c r="BA55" s="14">
        <v>500000</v>
      </c>
      <c r="BD55" s="7" t="s">
        <v>334</v>
      </c>
      <c r="BF55" s="7" t="s">
        <v>334</v>
      </c>
      <c r="BJ55" s="7" t="s">
        <v>336</v>
      </c>
      <c r="BP55" s="7" t="s">
        <v>337</v>
      </c>
      <c r="BR55" s="7" t="s">
        <v>756</v>
      </c>
      <c r="BU55" s="7" t="s">
        <v>338</v>
      </c>
      <c r="BW55" s="7" t="s">
        <v>356</v>
      </c>
      <c r="CE55" s="14"/>
    </row>
    <row r="56" spans="1:110" ht="114.75" x14ac:dyDescent="0.2">
      <c r="A56" s="6" t="s">
        <v>72</v>
      </c>
      <c r="B56" s="7" t="s">
        <v>251</v>
      </c>
      <c r="C56" s="7" t="s">
        <v>404</v>
      </c>
      <c r="F56" s="7" t="s">
        <v>334</v>
      </c>
      <c r="I56" s="7" t="s">
        <v>738</v>
      </c>
      <c r="K56" s="7" t="s">
        <v>753</v>
      </c>
      <c r="M56" s="7" t="s">
        <v>749</v>
      </c>
      <c r="P56" s="7" t="s">
        <v>251</v>
      </c>
      <c r="Q56" s="14">
        <v>600000</v>
      </c>
      <c r="T56" s="7" t="s">
        <v>251</v>
      </c>
      <c r="U56" s="7" t="s">
        <v>913</v>
      </c>
      <c r="V56" s="7" t="s">
        <v>251</v>
      </c>
      <c r="W56" s="7" t="s">
        <v>743</v>
      </c>
      <c r="Y56" s="7" t="s">
        <v>914</v>
      </c>
      <c r="Z56" s="7" t="s">
        <v>616</v>
      </c>
      <c r="AF56" s="7" t="s">
        <v>337</v>
      </c>
      <c r="AH56" s="7" t="s">
        <v>350</v>
      </c>
      <c r="AJ56" s="7" t="s">
        <v>251</v>
      </c>
      <c r="AK56" s="7" t="s">
        <v>404</v>
      </c>
      <c r="AN56" s="7" t="s">
        <v>334</v>
      </c>
      <c r="AQ56" s="7" t="s">
        <v>2906</v>
      </c>
      <c r="AS56" s="7" t="s">
        <v>738</v>
      </c>
      <c r="AU56" s="7" t="s">
        <v>753</v>
      </c>
      <c r="AW56" s="7" t="s">
        <v>749</v>
      </c>
      <c r="AZ56" s="7" t="s">
        <v>251</v>
      </c>
      <c r="BA56" s="14">
        <v>600000</v>
      </c>
      <c r="BD56" s="7" t="s">
        <v>251</v>
      </c>
      <c r="BE56" s="7" t="s">
        <v>915</v>
      </c>
      <c r="BF56" s="7" t="s">
        <v>334</v>
      </c>
      <c r="BJ56" s="7" t="s">
        <v>616</v>
      </c>
      <c r="BP56" s="7" t="s">
        <v>337</v>
      </c>
      <c r="BR56" s="7" t="s">
        <v>756</v>
      </c>
      <c r="BU56" s="7" t="s">
        <v>350</v>
      </c>
      <c r="BW56" s="7" t="s">
        <v>356</v>
      </c>
    </row>
    <row r="57" spans="1:110" ht="25.5" x14ac:dyDescent="0.2">
      <c r="A57" s="6" t="s">
        <v>16</v>
      </c>
      <c r="B57" s="7" t="s">
        <v>251</v>
      </c>
      <c r="C57" s="7" t="s">
        <v>404</v>
      </c>
      <c r="F57" s="7" t="s">
        <v>334</v>
      </c>
      <c r="I57" s="7" t="s">
        <v>738</v>
      </c>
      <c r="J57" s="14"/>
      <c r="K57" s="7" t="s">
        <v>2897</v>
      </c>
      <c r="M57" s="7" t="s">
        <v>749</v>
      </c>
      <c r="P57" s="7" t="s">
        <v>251</v>
      </c>
      <c r="Q57" s="14">
        <v>750000</v>
      </c>
      <c r="T57" s="7" t="s">
        <v>251</v>
      </c>
      <c r="U57" s="7" t="s">
        <v>757</v>
      </c>
      <c r="V57" s="7" t="s">
        <v>251</v>
      </c>
      <c r="W57" s="7" t="s">
        <v>2904</v>
      </c>
      <c r="Y57" s="7" t="s">
        <v>757</v>
      </c>
      <c r="Z57" s="7" t="s">
        <v>336</v>
      </c>
      <c r="AF57" s="7" t="s">
        <v>337</v>
      </c>
      <c r="AJ57" s="7" t="s">
        <v>251</v>
      </c>
      <c r="AK57" s="7" t="s">
        <v>404</v>
      </c>
      <c r="AN57" s="7" t="s">
        <v>334</v>
      </c>
      <c r="AQ57" s="7" t="s">
        <v>2907</v>
      </c>
      <c r="AS57" s="7" t="s">
        <v>738</v>
      </c>
      <c r="AT57" s="14"/>
      <c r="AU57" s="7" t="s">
        <v>753</v>
      </c>
      <c r="AW57" s="7" t="s">
        <v>749</v>
      </c>
      <c r="AZ57" s="7" t="s">
        <v>251</v>
      </c>
      <c r="BA57" s="14">
        <v>1000000</v>
      </c>
      <c r="BD57" s="7" t="s">
        <v>334</v>
      </c>
      <c r="BF57" s="7" t="s">
        <v>334</v>
      </c>
      <c r="BJ57" s="7" t="s">
        <v>336</v>
      </c>
      <c r="BP57" s="7" t="s">
        <v>337</v>
      </c>
      <c r="BW57" s="7" t="s">
        <v>356</v>
      </c>
      <c r="CE57" s="14"/>
    </row>
    <row r="58" spans="1:110" ht="38.25" x14ac:dyDescent="0.2">
      <c r="A58" s="6" t="s">
        <v>32</v>
      </c>
      <c r="B58" s="7" t="s">
        <v>251</v>
      </c>
      <c r="C58" s="7" t="s">
        <v>404</v>
      </c>
      <c r="F58" s="7" t="s">
        <v>334</v>
      </c>
      <c r="I58" s="7" t="s">
        <v>738</v>
      </c>
      <c r="J58" s="14"/>
      <c r="K58" s="7" t="s">
        <v>2896</v>
      </c>
      <c r="M58" s="7" t="s">
        <v>749</v>
      </c>
      <c r="P58" s="7" t="s">
        <v>251</v>
      </c>
      <c r="Q58" s="14">
        <v>500000</v>
      </c>
      <c r="T58" s="7" t="s">
        <v>251</v>
      </c>
      <c r="V58" s="7" t="s">
        <v>251</v>
      </c>
      <c r="W58" s="7" t="s">
        <v>2778</v>
      </c>
      <c r="Z58" s="7" t="s">
        <v>336</v>
      </c>
      <c r="AF58" s="7" t="s">
        <v>337</v>
      </c>
      <c r="AH58" s="7" t="s">
        <v>386</v>
      </c>
      <c r="AJ58" s="7" t="s">
        <v>251</v>
      </c>
      <c r="AK58" s="7" t="s">
        <v>404</v>
      </c>
      <c r="AN58" s="7" t="s">
        <v>334</v>
      </c>
      <c r="AQ58" s="7" t="s">
        <v>805</v>
      </c>
      <c r="AS58" s="7" t="s">
        <v>738</v>
      </c>
      <c r="AT58" s="14"/>
      <c r="AU58" s="7" t="s">
        <v>2896</v>
      </c>
      <c r="AW58" s="7" t="s">
        <v>749</v>
      </c>
      <c r="AZ58" s="7" t="s">
        <v>251</v>
      </c>
      <c r="BA58" s="14">
        <v>500000</v>
      </c>
      <c r="BJ58" s="7" t="s">
        <v>336</v>
      </c>
      <c r="BP58" s="7" t="s">
        <v>337</v>
      </c>
      <c r="BU58" s="7" t="s">
        <v>130</v>
      </c>
      <c r="BV58" s="7" t="s">
        <v>806</v>
      </c>
      <c r="BW58" s="7" t="s">
        <v>745</v>
      </c>
      <c r="CE58" s="14"/>
      <c r="CO58" s="7" t="s">
        <v>807</v>
      </c>
      <c r="CP58" s="7" t="s">
        <v>251</v>
      </c>
      <c r="CQ58" s="7" t="s">
        <v>2777</v>
      </c>
      <c r="CS58" s="7" t="s">
        <v>808</v>
      </c>
      <c r="CZ58" s="7" t="s">
        <v>337</v>
      </c>
      <c r="DE58" s="7" t="s">
        <v>130</v>
      </c>
      <c r="DF58" s="7" t="s">
        <v>796</v>
      </c>
    </row>
    <row r="59" spans="1:110" ht="114.75" x14ac:dyDescent="0.2">
      <c r="A59" s="6" t="s">
        <v>60</v>
      </c>
      <c r="B59" s="7" t="s">
        <v>251</v>
      </c>
      <c r="C59" s="7" t="s">
        <v>404</v>
      </c>
      <c r="F59" s="7" t="s">
        <v>334</v>
      </c>
      <c r="I59" s="7" t="s">
        <v>738</v>
      </c>
      <c r="K59" s="7" t="s">
        <v>2899</v>
      </c>
      <c r="M59" s="7" t="s">
        <v>749</v>
      </c>
      <c r="P59" s="7" t="s">
        <v>251</v>
      </c>
      <c r="Q59" s="14">
        <v>1500000</v>
      </c>
      <c r="T59" s="7" t="s">
        <v>251</v>
      </c>
      <c r="U59" s="7" t="s">
        <v>889</v>
      </c>
      <c r="V59" s="7" t="s">
        <v>251</v>
      </c>
      <c r="W59" s="7" t="s">
        <v>2777</v>
      </c>
      <c r="Y59" s="7" t="s">
        <v>890</v>
      </c>
      <c r="Z59" s="7" t="s">
        <v>336</v>
      </c>
      <c r="AF59" s="7" t="s">
        <v>337</v>
      </c>
      <c r="AH59" s="7" t="s">
        <v>338</v>
      </c>
      <c r="AJ59" s="7" t="s">
        <v>251</v>
      </c>
      <c r="AK59" s="7" t="s">
        <v>404</v>
      </c>
      <c r="AN59" s="7" t="s">
        <v>334</v>
      </c>
      <c r="AQ59" s="7" t="s">
        <v>2906</v>
      </c>
      <c r="AS59" s="7" t="s">
        <v>738</v>
      </c>
      <c r="AU59" s="7" t="s">
        <v>2899</v>
      </c>
      <c r="AW59" s="7" t="s">
        <v>749</v>
      </c>
      <c r="AZ59" s="7" t="s">
        <v>251</v>
      </c>
      <c r="BA59" s="14">
        <v>1500000</v>
      </c>
      <c r="BD59" s="7" t="s">
        <v>334</v>
      </c>
      <c r="BF59" s="7" t="s">
        <v>334</v>
      </c>
      <c r="BJ59" s="7" t="s">
        <v>336</v>
      </c>
      <c r="BP59" s="7" t="s">
        <v>337</v>
      </c>
      <c r="BR59" s="7" t="s">
        <v>756</v>
      </c>
      <c r="BU59" s="7" t="s">
        <v>338</v>
      </c>
      <c r="BW59" s="7" t="s">
        <v>356</v>
      </c>
      <c r="CE59" s="14"/>
    </row>
    <row r="60" spans="1:110" ht="114.75" x14ac:dyDescent="0.2">
      <c r="A60" s="6" t="s">
        <v>39</v>
      </c>
      <c r="B60" s="7" t="s">
        <v>251</v>
      </c>
      <c r="C60" s="7" t="s">
        <v>404</v>
      </c>
      <c r="F60" s="7" t="s">
        <v>334</v>
      </c>
      <c r="I60" s="7" t="s">
        <v>738</v>
      </c>
      <c r="J60" s="14"/>
      <c r="K60" s="7" t="s">
        <v>2899</v>
      </c>
      <c r="M60" s="7" t="s">
        <v>749</v>
      </c>
      <c r="P60" s="7" t="s">
        <v>251</v>
      </c>
      <c r="Q60" s="14">
        <v>500000</v>
      </c>
      <c r="T60" s="7" t="s">
        <v>251</v>
      </c>
      <c r="U60" s="7" t="s">
        <v>831</v>
      </c>
      <c r="V60" s="7" t="s">
        <v>251</v>
      </c>
      <c r="W60" s="7" t="s">
        <v>2777</v>
      </c>
      <c r="Y60" s="7" t="s">
        <v>832</v>
      </c>
      <c r="Z60" s="7" t="s">
        <v>336</v>
      </c>
      <c r="AF60" s="7" t="s">
        <v>337</v>
      </c>
      <c r="AH60" s="7" t="s">
        <v>130</v>
      </c>
      <c r="AI60" s="7" t="s">
        <v>348</v>
      </c>
      <c r="AJ60" s="7" t="s">
        <v>334</v>
      </c>
      <c r="AT60" s="14"/>
      <c r="BA60" s="14"/>
      <c r="BD60" s="7" t="s">
        <v>251</v>
      </c>
      <c r="BE60" s="7" t="s">
        <v>833</v>
      </c>
      <c r="BF60" s="7" t="s">
        <v>251</v>
      </c>
      <c r="BG60" s="7" t="s">
        <v>2777</v>
      </c>
      <c r="BI60" s="7" t="s">
        <v>834</v>
      </c>
      <c r="BP60" s="7" t="s">
        <v>337</v>
      </c>
      <c r="BR60" s="7" t="s">
        <v>756</v>
      </c>
      <c r="BU60" s="7" t="s">
        <v>130</v>
      </c>
      <c r="BV60" s="7" t="s">
        <v>348</v>
      </c>
      <c r="BW60" s="7" t="s">
        <v>356</v>
      </c>
      <c r="CE60" s="14"/>
    </row>
    <row r="61" spans="1:110" ht="63.75" x14ac:dyDescent="0.2">
      <c r="A61" s="6" t="s">
        <v>40</v>
      </c>
      <c r="B61" s="7" t="s">
        <v>251</v>
      </c>
      <c r="C61" s="7" t="s">
        <v>331</v>
      </c>
      <c r="D61" s="7" t="s">
        <v>2777</v>
      </c>
      <c r="F61" s="7" t="s">
        <v>334</v>
      </c>
      <c r="I61" s="7" t="s">
        <v>738</v>
      </c>
      <c r="J61" s="14"/>
      <c r="K61" s="7" t="s">
        <v>753</v>
      </c>
      <c r="M61" s="7" t="s">
        <v>749</v>
      </c>
      <c r="P61" s="7" t="s">
        <v>251</v>
      </c>
      <c r="Q61" s="14">
        <v>500000</v>
      </c>
      <c r="R61" s="7" t="s">
        <v>334</v>
      </c>
      <c r="S61" s="7" t="s">
        <v>835</v>
      </c>
      <c r="T61" s="7" t="s">
        <v>251</v>
      </c>
      <c r="U61" s="7" t="s">
        <v>836</v>
      </c>
      <c r="V61" s="7" t="s">
        <v>251</v>
      </c>
      <c r="W61" s="7" t="s">
        <v>2777</v>
      </c>
      <c r="Y61" s="7" t="s">
        <v>836</v>
      </c>
      <c r="Z61" s="7" t="s">
        <v>336</v>
      </c>
      <c r="AF61" s="7" t="s">
        <v>337</v>
      </c>
      <c r="AH61" s="7" t="s">
        <v>338</v>
      </c>
      <c r="AJ61" s="7" t="s">
        <v>251</v>
      </c>
      <c r="AK61" s="7" t="s">
        <v>404</v>
      </c>
      <c r="AN61" s="7" t="s">
        <v>334</v>
      </c>
      <c r="AQ61" s="7" t="s">
        <v>2906</v>
      </c>
      <c r="AS61" s="7" t="s">
        <v>738</v>
      </c>
      <c r="AT61" s="14"/>
      <c r="AU61" s="7" t="s">
        <v>753</v>
      </c>
      <c r="AW61" s="7" t="s">
        <v>749</v>
      </c>
      <c r="AZ61" s="7" t="s">
        <v>251</v>
      </c>
      <c r="BA61" s="14">
        <v>500000</v>
      </c>
      <c r="BD61" s="7" t="s">
        <v>251</v>
      </c>
      <c r="BE61" s="7" t="s">
        <v>837</v>
      </c>
      <c r="BF61" s="7" t="s">
        <v>251</v>
      </c>
      <c r="BG61" s="7" t="s">
        <v>2777</v>
      </c>
      <c r="BI61" s="7" t="s">
        <v>837</v>
      </c>
      <c r="BJ61" s="7" t="s">
        <v>336</v>
      </c>
      <c r="BP61" s="7" t="s">
        <v>337</v>
      </c>
      <c r="BR61" s="7" t="s">
        <v>556</v>
      </c>
      <c r="BU61" s="7" t="s">
        <v>130</v>
      </c>
      <c r="BV61" s="7" t="s">
        <v>796</v>
      </c>
      <c r="BW61" s="7" t="s">
        <v>356</v>
      </c>
      <c r="CE61" s="14"/>
    </row>
    <row r="62" spans="1:110" ht="38.25" x14ac:dyDescent="0.2">
      <c r="A62" s="6" t="s">
        <v>44</v>
      </c>
      <c r="B62" s="7" t="s">
        <v>251</v>
      </c>
      <c r="C62" s="7" t="s">
        <v>331</v>
      </c>
      <c r="D62" s="7" t="s">
        <v>2777</v>
      </c>
      <c r="F62" s="7" t="s">
        <v>334</v>
      </c>
      <c r="I62" s="7" t="s">
        <v>738</v>
      </c>
      <c r="J62" s="14"/>
      <c r="K62" s="7" t="s">
        <v>2901</v>
      </c>
      <c r="M62" s="7" t="s">
        <v>846</v>
      </c>
      <c r="P62" s="7" t="s">
        <v>251</v>
      </c>
      <c r="Q62" s="14">
        <v>500000</v>
      </c>
      <c r="R62" s="7" t="s">
        <v>334</v>
      </c>
      <c r="S62" s="7" t="s">
        <v>847</v>
      </c>
      <c r="T62" s="7" t="s">
        <v>251</v>
      </c>
      <c r="V62" s="7" t="s">
        <v>251</v>
      </c>
      <c r="W62" s="7" t="s">
        <v>2777</v>
      </c>
      <c r="Z62" s="7" t="s">
        <v>336</v>
      </c>
      <c r="AF62" s="7" t="s">
        <v>343</v>
      </c>
      <c r="AH62" s="7" t="s">
        <v>344</v>
      </c>
      <c r="AJ62" s="7" t="s">
        <v>251</v>
      </c>
      <c r="AK62" s="7" t="s">
        <v>404</v>
      </c>
      <c r="AN62" s="7" t="s">
        <v>334</v>
      </c>
      <c r="AQ62" s="7" t="s">
        <v>2906</v>
      </c>
      <c r="AS62" s="7" t="s">
        <v>738</v>
      </c>
      <c r="AT62" s="14"/>
      <c r="AU62" s="7" t="s">
        <v>2901</v>
      </c>
      <c r="AW62" s="7" t="s">
        <v>846</v>
      </c>
      <c r="AZ62" s="7" t="s">
        <v>251</v>
      </c>
      <c r="BA62" s="14">
        <v>500000</v>
      </c>
      <c r="BD62" s="7" t="s">
        <v>251</v>
      </c>
      <c r="BE62" s="7" t="s">
        <v>848</v>
      </c>
      <c r="BF62" s="7" t="s">
        <v>334</v>
      </c>
      <c r="BJ62" s="7" t="s">
        <v>336</v>
      </c>
      <c r="BP62" s="7" t="s">
        <v>343</v>
      </c>
      <c r="BU62" s="7" t="s">
        <v>130</v>
      </c>
      <c r="BV62" s="7" t="s">
        <v>849</v>
      </c>
      <c r="BW62" s="7" t="s">
        <v>764</v>
      </c>
      <c r="BX62" s="7" t="s">
        <v>404</v>
      </c>
      <c r="CA62" s="7" t="s">
        <v>334</v>
      </c>
      <c r="CD62" s="7" t="s">
        <v>396</v>
      </c>
      <c r="CE62" s="14">
        <v>25000</v>
      </c>
      <c r="CT62" s="7" t="s">
        <v>336</v>
      </c>
      <c r="CZ62" s="7" t="s">
        <v>343</v>
      </c>
      <c r="DE62" s="7" t="s">
        <v>344</v>
      </c>
    </row>
    <row r="63" spans="1:110" ht="38.25" x14ac:dyDescent="0.2">
      <c r="A63" s="6" t="s">
        <v>58</v>
      </c>
      <c r="B63" s="7" t="s">
        <v>251</v>
      </c>
      <c r="C63" s="7" t="s">
        <v>404</v>
      </c>
      <c r="F63" s="7" t="s">
        <v>334</v>
      </c>
      <c r="I63" s="7" t="s">
        <v>738</v>
      </c>
      <c r="K63" s="7" t="s">
        <v>2899</v>
      </c>
      <c r="M63" s="7" t="s">
        <v>749</v>
      </c>
      <c r="P63" s="7" t="s">
        <v>251</v>
      </c>
      <c r="Q63" s="14">
        <v>1000000</v>
      </c>
      <c r="T63" s="7" t="s">
        <v>345</v>
      </c>
      <c r="V63" s="7" t="s">
        <v>345</v>
      </c>
      <c r="Z63" s="7" t="s">
        <v>336</v>
      </c>
      <c r="AF63" s="7" t="s">
        <v>337</v>
      </c>
      <c r="AH63" s="7" t="s">
        <v>338</v>
      </c>
      <c r="AJ63" s="7" t="s">
        <v>251</v>
      </c>
      <c r="AK63" s="7" t="s">
        <v>404</v>
      </c>
      <c r="AN63" s="7" t="s">
        <v>334</v>
      </c>
      <c r="AQ63" s="7" t="s">
        <v>2906</v>
      </c>
      <c r="AS63" s="7" t="s">
        <v>738</v>
      </c>
      <c r="AU63" s="7" t="s">
        <v>2899</v>
      </c>
      <c r="AW63" s="7" t="s">
        <v>749</v>
      </c>
      <c r="AZ63" s="7" t="s">
        <v>251</v>
      </c>
      <c r="BA63" s="14">
        <v>1000000</v>
      </c>
      <c r="BD63" s="7" t="s">
        <v>334</v>
      </c>
      <c r="BF63" s="7" t="s">
        <v>334</v>
      </c>
      <c r="BJ63" s="7" t="s">
        <v>336</v>
      </c>
      <c r="BP63" s="7" t="s">
        <v>337</v>
      </c>
      <c r="BR63" s="7" t="s">
        <v>556</v>
      </c>
      <c r="BU63" s="7" t="s">
        <v>338</v>
      </c>
      <c r="BW63" s="7" t="s">
        <v>764</v>
      </c>
      <c r="BX63" s="7" t="s">
        <v>404</v>
      </c>
      <c r="CA63" s="7" t="s">
        <v>334</v>
      </c>
      <c r="CD63" s="7" t="s">
        <v>396</v>
      </c>
      <c r="CE63" s="14">
        <v>10000</v>
      </c>
      <c r="CT63" s="7" t="s">
        <v>336</v>
      </c>
      <c r="CZ63" s="7" t="s">
        <v>337</v>
      </c>
      <c r="DB63" s="7" t="s">
        <v>556</v>
      </c>
      <c r="DE63" s="7" t="s">
        <v>338</v>
      </c>
    </row>
    <row r="64" spans="1:110" ht="25.5" x14ac:dyDescent="0.2">
      <c r="A64" s="6" t="s">
        <v>15</v>
      </c>
      <c r="B64" s="7" t="s">
        <v>251</v>
      </c>
      <c r="C64" s="7" t="s">
        <v>331</v>
      </c>
      <c r="D64" s="7" t="s">
        <v>2777</v>
      </c>
      <c r="F64" s="7" t="s">
        <v>334</v>
      </c>
      <c r="I64" s="7" t="s">
        <v>738</v>
      </c>
      <c r="J64" s="14"/>
      <c r="K64" s="7" t="s">
        <v>753</v>
      </c>
      <c r="M64" s="7" t="s">
        <v>749</v>
      </c>
      <c r="P64" s="7" t="s">
        <v>251</v>
      </c>
      <c r="Q64" s="14"/>
      <c r="R64" s="7" t="s">
        <v>334</v>
      </c>
      <c r="T64" s="7" t="s">
        <v>251</v>
      </c>
      <c r="V64" s="7" t="s">
        <v>251</v>
      </c>
      <c r="W64" s="7" t="s">
        <v>2777</v>
      </c>
      <c r="Z64" s="7" t="s">
        <v>336</v>
      </c>
      <c r="AF64" s="7" t="s">
        <v>337</v>
      </c>
      <c r="AH64" s="7" t="s">
        <v>338</v>
      </c>
      <c r="AJ64" s="7" t="s">
        <v>251</v>
      </c>
      <c r="AK64" s="7" t="s">
        <v>404</v>
      </c>
      <c r="AN64" s="7" t="s">
        <v>334</v>
      </c>
      <c r="AQ64" s="7" t="s">
        <v>2907</v>
      </c>
      <c r="AS64" s="7" t="s">
        <v>738</v>
      </c>
      <c r="AT64" s="14"/>
      <c r="AU64" s="7" t="s">
        <v>753</v>
      </c>
      <c r="AW64" s="7" t="s">
        <v>749</v>
      </c>
      <c r="AZ64" s="7" t="s">
        <v>251</v>
      </c>
      <c r="BA64" s="14"/>
      <c r="BD64" s="7" t="s">
        <v>334</v>
      </c>
      <c r="BF64" s="7" t="s">
        <v>334</v>
      </c>
      <c r="BJ64" s="7" t="s">
        <v>336</v>
      </c>
      <c r="BP64" s="7" t="s">
        <v>337</v>
      </c>
      <c r="BR64" s="7" t="s">
        <v>756</v>
      </c>
      <c r="BU64" s="7" t="s">
        <v>338</v>
      </c>
      <c r="BW64" s="7" t="s">
        <v>356</v>
      </c>
      <c r="CE64" s="14"/>
    </row>
    <row r="65" spans="1:110" x14ac:dyDescent="0.2">
      <c r="A65" s="21" t="s">
        <v>3357</v>
      </c>
      <c r="B65" s="7">
        <f t="shared" ref="B65:AG65" si="0">COUNTA(B3:B64)</f>
        <v>62</v>
      </c>
      <c r="C65" s="7">
        <f t="shared" si="0"/>
        <v>62</v>
      </c>
      <c r="D65" s="7">
        <f t="shared" si="0"/>
        <v>35</v>
      </c>
      <c r="E65" s="7">
        <f t="shared" si="0"/>
        <v>0</v>
      </c>
      <c r="F65" s="7">
        <f t="shared" si="0"/>
        <v>62</v>
      </c>
      <c r="G65" s="7">
        <f t="shared" si="0"/>
        <v>0</v>
      </c>
      <c r="H65" s="7">
        <f t="shared" si="0"/>
        <v>1</v>
      </c>
      <c r="I65" s="7">
        <f t="shared" si="0"/>
        <v>62</v>
      </c>
      <c r="J65" s="7">
        <f t="shared" si="0"/>
        <v>1</v>
      </c>
      <c r="K65" s="7">
        <f t="shared" si="0"/>
        <v>55</v>
      </c>
      <c r="L65" s="7">
        <f t="shared" si="0"/>
        <v>1</v>
      </c>
      <c r="M65" s="7">
        <f t="shared" si="0"/>
        <v>57</v>
      </c>
      <c r="N65" s="7">
        <f t="shared" si="0"/>
        <v>4</v>
      </c>
      <c r="O65" s="7">
        <f t="shared" si="0"/>
        <v>4</v>
      </c>
      <c r="P65" s="7">
        <f t="shared" si="0"/>
        <v>56</v>
      </c>
      <c r="Q65" s="7">
        <f t="shared" si="0"/>
        <v>52</v>
      </c>
      <c r="R65" s="7">
        <f t="shared" si="0"/>
        <v>35</v>
      </c>
      <c r="S65" s="7">
        <f t="shared" si="0"/>
        <v>33</v>
      </c>
      <c r="T65" s="7">
        <f t="shared" si="0"/>
        <v>62</v>
      </c>
      <c r="U65" s="7">
        <f t="shared" si="0"/>
        <v>37</v>
      </c>
      <c r="V65" s="7">
        <f t="shared" si="0"/>
        <v>61</v>
      </c>
      <c r="W65" s="7">
        <f t="shared" si="0"/>
        <v>45</v>
      </c>
      <c r="X65" s="7">
        <f t="shared" si="0"/>
        <v>0</v>
      </c>
      <c r="Y65" s="7">
        <f t="shared" si="0"/>
        <v>42</v>
      </c>
      <c r="Z65" s="7">
        <f t="shared" si="0"/>
        <v>62</v>
      </c>
      <c r="AA65" s="7">
        <f t="shared" si="0"/>
        <v>1</v>
      </c>
      <c r="AB65" s="7">
        <f t="shared" si="0"/>
        <v>0</v>
      </c>
      <c r="AC65" s="7">
        <f t="shared" si="0"/>
        <v>0</v>
      </c>
      <c r="AD65" s="7">
        <f t="shared" si="0"/>
        <v>0</v>
      </c>
      <c r="AE65" s="7">
        <f t="shared" si="0"/>
        <v>0</v>
      </c>
      <c r="AF65" s="7">
        <f t="shared" si="0"/>
        <v>62</v>
      </c>
      <c r="AG65" s="7">
        <f t="shared" si="0"/>
        <v>0</v>
      </c>
      <c r="AH65" s="7">
        <f t="shared" ref="AH65:BM65" si="1">COUNTA(AH3:AH64)</f>
        <v>59</v>
      </c>
      <c r="AI65" s="7">
        <f t="shared" si="1"/>
        <v>5</v>
      </c>
      <c r="AJ65" s="7">
        <f t="shared" si="1"/>
        <v>62</v>
      </c>
      <c r="AK65" s="7">
        <f t="shared" si="1"/>
        <v>57</v>
      </c>
      <c r="AL65" s="7">
        <f t="shared" si="1"/>
        <v>4</v>
      </c>
      <c r="AM65" s="7">
        <f t="shared" si="1"/>
        <v>0</v>
      </c>
      <c r="AN65" s="7">
        <f t="shared" si="1"/>
        <v>57</v>
      </c>
      <c r="AO65" s="7">
        <f t="shared" si="1"/>
        <v>0</v>
      </c>
      <c r="AP65" s="7">
        <f t="shared" si="1"/>
        <v>1</v>
      </c>
      <c r="AQ65" s="7">
        <f t="shared" si="1"/>
        <v>57</v>
      </c>
      <c r="AR65" s="7">
        <f t="shared" si="1"/>
        <v>3</v>
      </c>
      <c r="AS65" s="7">
        <f t="shared" si="1"/>
        <v>57</v>
      </c>
      <c r="AT65" s="7">
        <f t="shared" si="1"/>
        <v>1</v>
      </c>
      <c r="AU65" s="7">
        <f t="shared" si="1"/>
        <v>49</v>
      </c>
      <c r="AV65" s="7">
        <f t="shared" si="1"/>
        <v>1</v>
      </c>
      <c r="AW65" s="7">
        <f t="shared" si="1"/>
        <v>52</v>
      </c>
      <c r="AX65" s="7">
        <f t="shared" si="1"/>
        <v>5</v>
      </c>
      <c r="AY65" s="7">
        <f t="shared" si="1"/>
        <v>4</v>
      </c>
      <c r="AZ65" s="7">
        <f t="shared" si="1"/>
        <v>50</v>
      </c>
      <c r="BA65" s="7">
        <f t="shared" si="1"/>
        <v>43</v>
      </c>
      <c r="BB65" s="7">
        <f t="shared" si="1"/>
        <v>4</v>
      </c>
      <c r="BC65" s="7">
        <f t="shared" si="1"/>
        <v>4</v>
      </c>
      <c r="BD65" s="7">
        <f t="shared" si="1"/>
        <v>61</v>
      </c>
      <c r="BE65" s="7">
        <f t="shared" si="1"/>
        <v>16</v>
      </c>
      <c r="BF65" s="7">
        <f t="shared" si="1"/>
        <v>60</v>
      </c>
      <c r="BG65" s="7">
        <f t="shared" si="1"/>
        <v>11</v>
      </c>
      <c r="BH65" s="7">
        <f t="shared" si="1"/>
        <v>0</v>
      </c>
      <c r="BI65" s="7">
        <f t="shared" si="1"/>
        <v>10</v>
      </c>
      <c r="BJ65" s="7">
        <f t="shared" si="1"/>
        <v>57</v>
      </c>
      <c r="BK65" s="7">
        <f t="shared" si="1"/>
        <v>0</v>
      </c>
      <c r="BL65" s="7">
        <f t="shared" si="1"/>
        <v>0</v>
      </c>
      <c r="BM65" s="7">
        <f t="shared" si="1"/>
        <v>0</v>
      </c>
      <c r="BN65" s="7">
        <f t="shared" ref="BN65:CS65" si="2">COUNTA(BN3:BN64)</f>
        <v>0</v>
      </c>
      <c r="BO65" s="7">
        <f t="shared" si="2"/>
        <v>0</v>
      </c>
      <c r="BP65" s="7">
        <f t="shared" si="2"/>
        <v>58</v>
      </c>
      <c r="BQ65" s="7">
        <f t="shared" si="2"/>
        <v>0</v>
      </c>
      <c r="BR65" s="7">
        <f t="shared" si="2"/>
        <v>48</v>
      </c>
      <c r="BS65" s="7">
        <f t="shared" si="2"/>
        <v>2</v>
      </c>
      <c r="BT65" s="7">
        <f t="shared" si="2"/>
        <v>1</v>
      </c>
      <c r="BU65" s="7">
        <f t="shared" si="2"/>
        <v>55</v>
      </c>
      <c r="BV65" s="7">
        <f t="shared" si="2"/>
        <v>12</v>
      </c>
      <c r="BW65" s="7">
        <f t="shared" si="2"/>
        <v>62</v>
      </c>
      <c r="BX65" s="7">
        <f t="shared" si="2"/>
        <v>8</v>
      </c>
      <c r="BY65" s="7">
        <f t="shared" si="2"/>
        <v>1</v>
      </c>
      <c r="BZ65" s="7">
        <f t="shared" si="2"/>
        <v>0</v>
      </c>
      <c r="CA65" s="7">
        <f t="shared" si="2"/>
        <v>8</v>
      </c>
      <c r="CB65" s="7">
        <f t="shared" si="2"/>
        <v>1</v>
      </c>
      <c r="CC65" s="7">
        <f t="shared" si="2"/>
        <v>0</v>
      </c>
      <c r="CD65" s="7">
        <f t="shared" si="2"/>
        <v>8</v>
      </c>
      <c r="CE65" s="7">
        <f t="shared" si="2"/>
        <v>7</v>
      </c>
      <c r="CF65" s="7">
        <f t="shared" si="2"/>
        <v>0</v>
      </c>
      <c r="CG65" s="7">
        <f t="shared" si="2"/>
        <v>0</v>
      </c>
      <c r="CH65" s="7">
        <f t="shared" si="2"/>
        <v>0</v>
      </c>
      <c r="CI65" s="7">
        <f t="shared" si="2"/>
        <v>0</v>
      </c>
      <c r="CJ65" s="7">
        <f t="shared" si="2"/>
        <v>1</v>
      </c>
      <c r="CK65" s="7">
        <f t="shared" si="2"/>
        <v>0</v>
      </c>
      <c r="CL65" s="7">
        <f t="shared" si="2"/>
        <v>0</v>
      </c>
      <c r="CM65" s="7">
        <f t="shared" si="2"/>
        <v>1</v>
      </c>
      <c r="CN65" s="7">
        <f t="shared" si="2"/>
        <v>0</v>
      </c>
      <c r="CO65" s="7">
        <f t="shared" si="2"/>
        <v>7</v>
      </c>
      <c r="CP65" s="7">
        <f t="shared" si="2"/>
        <v>9</v>
      </c>
      <c r="CQ65" s="7">
        <f t="shared" si="2"/>
        <v>7</v>
      </c>
      <c r="CR65" s="7">
        <f t="shared" si="2"/>
        <v>0</v>
      </c>
      <c r="CS65" s="7">
        <f t="shared" si="2"/>
        <v>7</v>
      </c>
      <c r="CT65" s="7">
        <f t="shared" ref="CT65:DF65" si="3">COUNTA(CT3:CT64)</f>
        <v>8</v>
      </c>
      <c r="CU65" s="7">
        <f t="shared" si="3"/>
        <v>0</v>
      </c>
      <c r="CV65" s="7">
        <f t="shared" si="3"/>
        <v>0</v>
      </c>
      <c r="CW65" s="7">
        <f t="shared" si="3"/>
        <v>0</v>
      </c>
      <c r="CX65" s="7">
        <f t="shared" si="3"/>
        <v>0</v>
      </c>
      <c r="CY65" s="7">
        <f t="shared" si="3"/>
        <v>0</v>
      </c>
      <c r="CZ65" s="7">
        <f t="shared" si="3"/>
        <v>10</v>
      </c>
      <c r="DA65" s="7">
        <f t="shared" si="3"/>
        <v>0</v>
      </c>
      <c r="DB65" s="7">
        <f t="shared" si="3"/>
        <v>6</v>
      </c>
      <c r="DC65" s="7">
        <f t="shared" si="3"/>
        <v>0</v>
      </c>
      <c r="DD65" s="7">
        <f t="shared" si="3"/>
        <v>0</v>
      </c>
      <c r="DE65" s="7">
        <f t="shared" si="3"/>
        <v>14</v>
      </c>
      <c r="DF65" s="7">
        <f t="shared" si="3"/>
        <v>4</v>
      </c>
    </row>
  </sheetData>
  <autoFilter ref="A2:DF65" xr:uid="{ECB454B5-9690-41B8-BE52-E1ACC7C6B87D}"/>
  <sortState xmlns:xlrd2="http://schemas.microsoft.com/office/spreadsheetml/2017/richdata2" ref="A3:DF64">
    <sortCondition ref="A3:A64"/>
  </sortState>
  <hyperlinks>
    <hyperlink ref="A1" location="Index!A1" display="Back to Index" xr:uid="{00000000-0004-0000-0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Y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5.7109375" style="6" customWidth="1"/>
    <col min="2" max="30" width="30.7109375" style="7" customWidth="1"/>
    <col min="31" max="31" width="50.7109375" style="7" customWidth="1"/>
    <col min="32" max="61" width="30.7109375" style="7" customWidth="1"/>
    <col min="62" max="62" width="50.7109375" style="7" customWidth="1"/>
    <col min="63" max="103" width="30.7109375" style="7" customWidth="1"/>
    <col min="104" max="16384" width="15.7109375" style="6"/>
  </cols>
  <sheetData>
    <row r="1" spans="1:103" s="9" customFormat="1" x14ac:dyDescent="0.2">
      <c r="A1" s="12" t="s">
        <v>1984</v>
      </c>
      <c r="B1" s="8" t="s">
        <v>916</v>
      </c>
      <c r="C1" s="8" t="s">
        <v>917</v>
      </c>
      <c r="D1" s="8" t="s">
        <v>918</v>
      </c>
      <c r="E1" s="8" t="s">
        <v>919</v>
      </c>
      <c r="F1" s="8" t="s">
        <v>920</v>
      </c>
      <c r="G1" s="8" t="s">
        <v>921</v>
      </c>
      <c r="H1" s="8" t="s">
        <v>922</v>
      </c>
      <c r="I1" s="8" t="s">
        <v>923</v>
      </c>
      <c r="J1" s="8" t="s">
        <v>924</v>
      </c>
      <c r="K1" s="8" t="s">
        <v>925</v>
      </c>
      <c r="L1" s="8" t="s">
        <v>926</v>
      </c>
      <c r="M1" s="8" t="s">
        <v>927</v>
      </c>
      <c r="N1" s="8" t="s">
        <v>928</v>
      </c>
      <c r="O1" s="8" t="s">
        <v>929</v>
      </c>
      <c r="P1" s="8" t="s">
        <v>930</v>
      </c>
      <c r="Q1" s="8" t="s">
        <v>931</v>
      </c>
      <c r="R1" s="8" t="s">
        <v>932</v>
      </c>
      <c r="S1" s="8" t="s">
        <v>933</v>
      </c>
      <c r="T1" s="8" t="s">
        <v>934</v>
      </c>
      <c r="U1" s="8" t="s">
        <v>935</v>
      </c>
      <c r="V1" s="8" t="s">
        <v>936</v>
      </c>
      <c r="W1" s="8" t="s">
        <v>937</v>
      </c>
      <c r="X1" s="8" t="s">
        <v>938</v>
      </c>
      <c r="Y1" s="8" t="s">
        <v>939</v>
      </c>
      <c r="Z1" s="8" t="s">
        <v>940</v>
      </c>
      <c r="AA1" s="8" t="s">
        <v>941</v>
      </c>
      <c r="AB1" s="8" t="s">
        <v>942</v>
      </c>
      <c r="AC1" s="8" t="s">
        <v>943</v>
      </c>
      <c r="AD1" s="8" t="s">
        <v>944</v>
      </c>
      <c r="AE1" s="8" t="s">
        <v>945</v>
      </c>
      <c r="AF1" s="8" t="s">
        <v>946</v>
      </c>
      <c r="AG1" s="8" t="s">
        <v>947</v>
      </c>
      <c r="AH1" s="8" t="s">
        <v>948</v>
      </c>
      <c r="AI1" s="8" t="s">
        <v>949</v>
      </c>
      <c r="AJ1" s="8" t="s">
        <v>950</v>
      </c>
      <c r="AK1" s="8" t="s">
        <v>951</v>
      </c>
      <c r="AL1" s="8" t="s">
        <v>952</v>
      </c>
      <c r="AM1" s="8" t="s">
        <v>953</v>
      </c>
      <c r="AN1" s="8" t="s">
        <v>954</v>
      </c>
      <c r="AO1" s="8" t="s">
        <v>955</v>
      </c>
      <c r="AP1" s="8" t="s">
        <v>956</v>
      </c>
      <c r="AQ1" s="8" t="s">
        <v>957</v>
      </c>
      <c r="AR1" s="8" t="s">
        <v>958</v>
      </c>
      <c r="AS1" s="8" t="s">
        <v>959</v>
      </c>
      <c r="AT1" s="8" t="s">
        <v>960</v>
      </c>
      <c r="AU1" s="8" t="s">
        <v>961</v>
      </c>
      <c r="AV1" s="8" t="s">
        <v>962</v>
      </c>
      <c r="AW1" s="8" t="s">
        <v>963</v>
      </c>
      <c r="AX1" s="8" t="s">
        <v>964</v>
      </c>
      <c r="AY1" s="8" t="s">
        <v>965</v>
      </c>
      <c r="AZ1" s="8" t="s">
        <v>966</v>
      </c>
      <c r="BA1" s="8" t="s">
        <v>967</v>
      </c>
      <c r="BB1" s="8" t="s">
        <v>968</v>
      </c>
      <c r="BC1" s="8" t="s">
        <v>969</v>
      </c>
      <c r="BD1" s="8" t="s">
        <v>970</v>
      </c>
      <c r="BE1" s="8" t="s">
        <v>971</v>
      </c>
      <c r="BF1" s="8" t="s">
        <v>972</v>
      </c>
      <c r="BG1" s="8" t="s">
        <v>973</v>
      </c>
      <c r="BH1" s="8" t="s">
        <v>974</v>
      </c>
      <c r="BI1" s="8" t="s">
        <v>975</v>
      </c>
      <c r="BJ1" s="8" t="s">
        <v>976</v>
      </c>
      <c r="BK1" s="8" t="s">
        <v>977</v>
      </c>
      <c r="BL1" s="8" t="s">
        <v>978</v>
      </c>
      <c r="BM1" s="8" t="s">
        <v>979</v>
      </c>
      <c r="BN1" s="8" t="s">
        <v>980</v>
      </c>
      <c r="BO1" s="8" t="s">
        <v>981</v>
      </c>
      <c r="BP1" s="8" t="s">
        <v>982</v>
      </c>
      <c r="BQ1" s="8" t="s">
        <v>983</v>
      </c>
      <c r="BR1" s="8" t="s">
        <v>984</v>
      </c>
      <c r="BS1" s="8" t="s">
        <v>985</v>
      </c>
      <c r="BT1" s="8" t="s">
        <v>986</v>
      </c>
      <c r="BU1" s="8" t="s">
        <v>987</v>
      </c>
      <c r="BV1" s="8" t="s">
        <v>988</v>
      </c>
      <c r="BW1" s="8" t="s">
        <v>989</v>
      </c>
      <c r="BX1" s="8" t="s">
        <v>990</v>
      </c>
      <c r="BY1" s="8" t="s">
        <v>991</v>
      </c>
      <c r="BZ1" s="8" t="s">
        <v>992</v>
      </c>
      <c r="CA1" s="8" t="s">
        <v>993</v>
      </c>
      <c r="CB1" s="8" t="s">
        <v>994</v>
      </c>
      <c r="CC1" s="8" t="s">
        <v>995</v>
      </c>
      <c r="CD1" s="8" t="s">
        <v>996</v>
      </c>
      <c r="CE1" s="8" t="s">
        <v>997</v>
      </c>
      <c r="CF1" s="8" t="s">
        <v>998</v>
      </c>
      <c r="CG1" s="8" t="s">
        <v>999</v>
      </c>
      <c r="CH1" s="8" t="s">
        <v>1000</v>
      </c>
      <c r="CI1" s="8" t="s">
        <v>1001</v>
      </c>
      <c r="CJ1" s="8" t="s">
        <v>1002</v>
      </c>
      <c r="CK1" s="8" t="s">
        <v>1003</v>
      </c>
      <c r="CL1" s="8" t="s">
        <v>1004</v>
      </c>
      <c r="CM1" s="8" t="s">
        <v>1005</v>
      </c>
      <c r="CN1" s="8" t="s">
        <v>1006</v>
      </c>
      <c r="CO1" s="8" t="s">
        <v>1007</v>
      </c>
      <c r="CP1" s="8" t="s">
        <v>1008</v>
      </c>
      <c r="CQ1" s="8" t="s">
        <v>1009</v>
      </c>
      <c r="CR1" s="8" t="s">
        <v>1010</v>
      </c>
      <c r="CS1" s="8" t="s">
        <v>1011</v>
      </c>
      <c r="CT1" s="8" t="s">
        <v>1012</v>
      </c>
      <c r="CU1" s="8" t="s">
        <v>1013</v>
      </c>
      <c r="CV1" s="8" t="s">
        <v>1014</v>
      </c>
      <c r="CW1" s="8" t="s">
        <v>1015</v>
      </c>
      <c r="CX1" s="8" t="s">
        <v>1016</v>
      </c>
      <c r="CY1" s="8" t="s">
        <v>1017</v>
      </c>
    </row>
    <row r="2" spans="1:103" s="9" customFormat="1" ht="76.5" x14ac:dyDescent="0.2">
      <c r="A2" s="9" t="s">
        <v>2713</v>
      </c>
      <c r="B2" s="17" t="s">
        <v>2201</v>
      </c>
      <c r="C2" s="8" t="s">
        <v>2202</v>
      </c>
      <c r="D2" s="8" t="s">
        <v>1994</v>
      </c>
      <c r="E2" s="8" t="s">
        <v>1995</v>
      </c>
      <c r="F2" s="17" t="s">
        <v>2203</v>
      </c>
      <c r="G2" s="17" t="s">
        <v>2204</v>
      </c>
      <c r="H2" s="17" t="s">
        <v>2205</v>
      </c>
      <c r="I2" s="18" t="s">
        <v>2206</v>
      </c>
      <c r="J2" s="17" t="s">
        <v>2207</v>
      </c>
      <c r="K2" s="17" t="s">
        <v>2208</v>
      </c>
      <c r="L2" s="17" t="s">
        <v>2209</v>
      </c>
      <c r="M2" s="17" t="s">
        <v>2210</v>
      </c>
      <c r="N2" s="17" t="s">
        <v>2211</v>
      </c>
      <c r="O2" s="17" t="s">
        <v>2212</v>
      </c>
      <c r="P2" s="17" t="s">
        <v>2213</v>
      </c>
      <c r="Q2" s="17" t="s">
        <v>2214</v>
      </c>
      <c r="R2" s="17" t="s">
        <v>2215</v>
      </c>
      <c r="S2" s="8" t="s">
        <v>2216</v>
      </c>
      <c r="T2" s="17" t="s">
        <v>2202</v>
      </c>
      <c r="U2" s="17" t="s">
        <v>1994</v>
      </c>
      <c r="V2" s="17" t="s">
        <v>1995</v>
      </c>
      <c r="W2" s="17" t="s">
        <v>2217</v>
      </c>
      <c r="X2" s="8" t="s">
        <v>2218</v>
      </c>
      <c r="Y2" s="8" t="s">
        <v>2219</v>
      </c>
      <c r="Z2" s="17" t="s">
        <v>2220</v>
      </c>
      <c r="AA2" s="17" t="s">
        <v>2221</v>
      </c>
      <c r="AB2" s="8" t="s">
        <v>2222</v>
      </c>
      <c r="AC2" s="17" t="s">
        <v>2223</v>
      </c>
      <c r="AD2" s="17" t="s">
        <v>2744</v>
      </c>
      <c r="AE2" s="17" t="s">
        <v>2224</v>
      </c>
      <c r="AF2" s="8" t="s">
        <v>2225</v>
      </c>
      <c r="AG2" s="8" t="s">
        <v>2226</v>
      </c>
      <c r="AH2" s="17" t="s">
        <v>2227</v>
      </c>
      <c r="AI2" s="17" t="s">
        <v>2024</v>
      </c>
      <c r="AJ2" s="17" t="s">
        <v>2025</v>
      </c>
      <c r="AK2" s="17" t="s">
        <v>2026</v>
      </c>
      <c r="AL2" s="17" t="s">
        <v>2027</v>
      </c>
      <c r="AM2" s="17" t="s">
        <v>2028</v>
      </c>
      <c r="AN2" s="8" t="s">
        <v>2228</v>
      </c>
      <c r="AO2" s="8" t="s">
        <v>2229</v>
      </c>
      <c r="AP2" s="17" t="s">
        <v>2230</v>
      </c>
      <c r="AQ2" s="17" t="s">
        <v>2231</v>
      </c>
      <c r="AR2" s="17" t="s">
        <v>2232</v>
      </c>
      <c r="AS2" s="8" t="s">
        <v>2233</v>
      </c>
      <c r="AT2" s="8" t="s">
        <v>2234</v>
      </c>
      <c r="AU2" s="17" t="s">
        <v>2235</v>
      </c>
      <c r="AV2" s="8" t="s">
        <v>2202</v>
      </c>
      <c r="AW2" s="8" t="s">
        <v>1994</v>
      </c>
      <c r="AX2" s="8" t="s">
        <v>1995</v>
      </c>
      <c r="AY2" s="8" t="s">
        <v>2236</v>
      </c>
      <c r="AZ2" s="17" t="s">
        <v>2237</v>
      </c>
      <c r="BA2" s="17" t="s">
        <v>2238</v>
      </c>
      <c r="BB2" s="8" t="s">
        <v>2239</v>
      </c>
      <c r="BC2" s="8" t="s">
        <v>2240</v>
      </c>
      <c r="BD2" s="17" t="s">
        <v>2241</v>
      </c>
      <c r="BE2" s="17" t="s">
        <v>2242</v>
      </c>
      <c r="BF2" s="17" t="s">
        <v>2243</v>
      </c>
      <c r="BG2" s="17" t="s">
        <v>2244</v>
      </c>
      <c r="BH2" s="8" t="s">
        <v>2245</v>
      </c>
      <c r="BI2" s="8" t="s">
        <v>2745</v>
      </c>
      <c r="BJ2" s="18" t="s">
        <v>2246</v>
      </c>
      <c r="BK2" s="17" t="s">
        <v>2247</v>
      </c>
      <c r="BL2" s="17" t="s">
        <v>2248</v>
      </c>
      <c r="BM2" s="8" t="s">
        <v>2249</v>
      </c>
      <c r="BN2" s="8" t="s">
        <v>2024</v>
      </c>
      <c r="BO2" s="8" t="s">
        <v>2025</v>
      </c>
      <c r="BP2" s="8" t="s">
        <v>2026</v>
      </c>
      <c r="BQ2" s="8" t="s">
        <v>2027</v>
      </c>
      <c r="BR2" s="8" t="s">
        <v>2028</v>
      </c>
      <c r="BS2" s="17" t="s">
        <v>2250</v>
      </c>
      <c r="BT2" s="17" t="s">
        <v>2251</v>
      </c>
      <c r="BU2" s="8" t="s">
        <v>2252</v>
      </c>
      <c r="BV2" s="8" t="s">
        <v>2253</v>
      </c>
      <c r="BW2" s="8" t="s">
        <v>2254</v>
      </c>
      <c r="BX2" s="17" t="s">
        <v>2255</v>
      </c>
      <c r="BY2" s="17" t="s">
        <v>2256</v>
      </c>
      <c r="BZ2" s="8" t="s">
        <v>2257</v>
      </c>
      <c r="CA2" s="17" t="s">
        <v>2202</v>
      </c>
      <c r="CB2" s="17" t="s">
        <v>1994</v>
      </c>
      <c r="CC2" s="17" t="s">
        <v>1995</v>
      </c>
      <c r="CD2" s="8" t="s">
        <v>2258</v>
      </c>
      <c r="CE2" s="8" t="s">
        <v>2181</v>
      </c>
      <c r="CF2" s="8" t="s">
        <v>2259</v>
      </c>
      <c r="CG2" s="8" t="s">
        <v>2260</v>
      </c>
      <c r="CH2" s="8" t="s">
        <v>2129</v>
      </c>
      <c r="CI2" s="8" t="s">
        <v>2130</v>
      </c>
      <c r="CJ2" s="8" t="s">
        <v>2184</v>
      </c>
      <c r="CK2" s="17" t="s">
        <v>2261</v>
      </c>
      <c r="CL2" s="17" t="s">
        <v>2262</v>
      </c>
      <c r="CM2" s="8" t="s">
        <v>2263</v>
      </c>
      <c r="CN2" s="8" t="s">
        <v>2024</v>
      </c>
      <c r="CO2" s="8" t="s">
        <v>2025</v>
      </c>
      <c r="CP2" s="8" t="s">
        <v>2026</v>
      </c>
      <c r="CQ2" s="8" t="s">
        <v>2027</v>
      </c>
      <c r="CR2" s="8" t="s">
        <v>2028</v>
      </c>
      <c r="CS2" s="17" t="s">
        <v>2264</v>
      </c>
      <c r="CT2" s="17" t="s">
        <v>2265</v>
      </c>
      <c r="CU2" s="8" t="s">
        <v>2266</v>
      </c>
      <c r="CV2" s="8" t="s">
        <v>2267</v>
      </c>
      <c r="CW2" s="8" t="s">
        <v>2268</v>
      </c>
      <c r="CX2" s="17" t="s">
        <v>2269</v>
      </c>
      <c r="CY2" s="17" t="s">
        <v>2270</v>
      </c>
    </row>
    <row r="3" spans="1:103" ht="25.5" x14ac:dyDescent="0.2">
      <c r="A3" s="6" t="s">
        <v>69</v>
      </c>
      <c r="B3" s="7" t="s">
        <v>251</v>
      </c>
      <c r="C3" s="7" t="s">
        <v>334</v>
      </c>
      <c r="F3" s="7" t="s">
        <v>1018</v>
      </c>
      <c r="G3" s="7" t="s">
        <v>1088</v>
      </c>
      <c r="I3" s="7" t="s">
        <v>334</v>
      </c>
      <c r="J3" s="7" t="s">
        <v>334</v>
      </c>
      <c r="S3" s="7" t="s">
        <v>251</v>
      </c>
      <c r="T3" s="7" t="s">
        <v>334</v>
      </c>
      <c r="W3" s="7">
        <v>5</v>
      </c>
      <c r="X3" s="7" t="s">
        <v>1019</v>
      </c>
      <c r="Z3" s="7" t="s">
        <v>2913</v>
      </c>
      <c r="AB3" s="7">
        <v>17</v>
      </c>
      <c r="AC3" s="7" t="s">
        <v>251</v>
      </c>
      <c r="AD3" s="10">
        <v>0.75</v>
      </c>
      <c r="AF3" s="7" t="s">
        <v>251</v>
      </c>
      <c r="AG3" s="14">
        <v>3000</v>
      </c>
      <c r="AH3" s="7" t="s">
        <v>336</v>
      </c>
      <c r="AN3" s="7" t="s">
        <v>337</v>
      </c>
      <c r="AP3" s="7" t="s">
        <v>556</v>
      </c>
      <c r="AS3" s="7" t="s">
        <v>130</v>
      </c>
      <c r="AT3" s="7" t="s">
        <v>907</v>
      </c>
      <c r="AU3" s="7" t="s">
        <v>251</v>
      </c>
      <c r="AY3" s="7">
        <v>17</v>
      </c>
      <c r="AZ3" s="7" t="s">
        <v>1019</v>
      </c>
      <c r="BB3" s="7" t="s">
        <v>2913</v>
      </c>
      <c r="BD3" s="7" t="s">
        <v>1028</v>
      </c>
      <c r="BH3" s="7" t="s">
        <v>251</v>
      </c>
      <c r="BI3" s="13">
        <v>66.67</v>
      </c>
      <c r="BK3" s="7" t="s">
        <v>251</v>
      </c>
      <c r="BL3" s="14">
        <v>10000</v>
      </c>
      <c r="BM3" s="7" t="s">
        <v>616</v>
      </c>
      <c r="BS3" s="7" t="s">
        <v>337</v>
      </c>
      <c r="BU3" s="7" t="s">
        <v>556</v>
      </c>
      <c r="BX3" s="7" t="s">
        <v>130</v>
      </c>
      <c r="BY3" s="7" t="s">
        <v>907</v>
      </c>
      <c r="BZ3" s="7" t="s">
        <v>251</v>
      </c>
      <c r="CA3" s="7" t="s">
        <v>334</v>
      </c>
      <c r="CD3" s="7" t="s">
        <v>396</v>
      </c>
      <c r="CE3" s="14">
        <v>5000</v>
      </c>
      <c r="CL3" s="14"/>
      <c r="CM3" s="7" t="s">
        <v>616</v>
      </c>
      <c r="CS3" s="7" t="s">
        <v>337</v>
      </c>
      <c r="CU3" s="7" t="s">
        <v>556</v>
      </c>
      <c r="CX3" s="7" t="s">
        <v>130</v>
      </c>
      <c r="CY3" s="7" t="s">
        <v>907</v>
      </c>
    </row>
    <row r="4" spans="1:103" ht="38.25" x14ac:dyDescent="0.2">
      <c r="A4" s="6" t="s">
        <v>45</v>
      </c>
      <c r="B4" s="7" t="s">
        <v>334</v>
      </c>
      <c r="S4" s="7" t="s">
        <v>251</v>
      </c>
      <c r="T4" s="7" t="s">
        <v>334</v>
      </c>
      <c r="W4" s="7">
        <v>7</v>
      </c>
      <c r="X4" s="7" t="s">
        <v>1019</v>
      </c>
      <c r="Z4" s="7" t="s">
        <v>2896</v>
      </c>
      <c r="AB4" s="7">
        <v>17</v>
      </c>
      <c r="AC4" s="7" t="s">
        <v>251</v>
      </c>
      <c r="AD4" s="23">
        <v>0.66669999999999996</v>
      </c>
      <c r="AF4" s="7" t="s">
        <v>251</v>
      </c>
      <c r="AG4" s="14">
        <v>3464</v>
      </c>
      <c r="AH4" s="7" t="s">
        <v>336</v>
      </c>
      <c r="AN4" s="7" t="s">
        <v>130</v>
      </c>
      <c r="AO4" s="7" t="s">
        <v>1063</v>
      </c>
      <c r="AS4" s="7" t="s">
        <v>130</v>
      </c>
      <c r="AT4" s="7" t="s">
        <v>338</v>
      </c>
      <c r="AU4" s="7" t="s">
        <v>251</v>
      </c>
      <c r="AV4" s="7" t="s">
        <v>334</v>
      </c>
      <c r="AY4" s="7">
        <v>17</v>
      </c>
      <c r="AZ4" s="7" t="s">
        <v>130</v>
      </c>
      <c r="BA4" s="7" t="s">
        <v>1064</v>
      </c>
      <c r="BB4" s="7" t="s">
        <v>2896</v>
      </c>
      <c r="BD4" s="7" t="s">
        <v>1023</v>
      </c>
      <c r="BH4" s="7" t="s">
        <v>251</v>
      </c>
      <c r="BI4" s="13">
        <v>66.67</v>
      </c>
      <c r="BK4" s="7" t="s">
        <v>251</v>
      </c>
      <c r="BL4" s="14">
        <v>20000</v>
      </c>
      <c r="BM4" s="7" t="s">
        <v>336</v>
      </c>
      <c r="BS4" s="7" t="s">
        <v>337</v>
      </c>
      <c r="BU4" s="7" t="s">
        <v>556</v>
      </c>
      <c r="BX4" s="7" t="s">
        <v>1030</v>
      </c>
      <c r="BZ4" s="7" t="s">
        <v>334</v>
      </c>
      <c r="CL4" s="14"/>
    </row>
    <row r="5" spans="1:103" ht="38.25" x14ac:dyDescent="0.2">
      <c r="A5" s="6" t="s">
        <v>18</v>
      </c>
      <c r="B5" s="7" t="s">
        <v>251</v>
      </c>
      <c r="C5" s="7" t="s">
        <v>334</v>
      </c>
      <c r="F5" s="7" t="s">
        <v>1018</v>
      </c>
      <c r="G5" s="7">
        <v>10</v>
      </c>
      <c r="I5" s="7" t="s">
        <v>334</v>
      </c>
      <c r="J5" s="7" t="s">
        <v>251</v>
      </c>
      <c r="K5" s="7" t="s">
        <v>251</v>
      </c>
      <c r="L5" s="7">
        <v>40</v>
      </c>
      <c r="M5" s="7" t="s">
        <v>1038</v>
      </c>
      <c r="O5" s="7" t="s">
        <v>334</v>
      </c>
      <c r="S5" s="7" t="s">
        <v>251</v>
      </c>
      <c r="T5" s="7" t="s">
        <v>334</v>
      </c>
      <c r="W5" s="7">
        <v>7</v>
      </c>
      <c r="X5" s="7" t="s">
        <v>1019</v>
      </c>
      <c r="Z5" s="7" t="s">
        <v>753</v>
      </c>
      <c r="AB5" s="7">
        <v>17</v>
      </c>
      <c r="AC5" s="7" t="s">
        <v>251</v>
      </c>
      <c r="AD5" s="10">
        <v>0.7</v>
      </c>
      <c r="AF5" s="7" t="s">
        <v>251</v>
      </c>
      <c r="AG5" s="14">
        <v>1500</v>
      </c>
      <c r="AH5" s="7" t="s">
        <v>336</v>
      </c>
      <c r="AN5" s="7" t="s">
        <v>337</v>
      </c>
      <c r="AP5" s="7" t="s">
        <v>556</v>
      </c>
      <c r="AS5" s="7" t="s">
        <v>350</v>
      </c>
      <c r="AU5" s="7" t="s">
        <v>251</v>
      </c>
      <c r="AV5" s="7" t="s">
        <v>334</v>
      </c>
      <c r="AY5" s="7">
        <v>17</v>
      </c>
      <c r="AZ5" s="7" t="s">
        <v>130</v>
      </c>
      <c r="BA5" s="7" t="s">
        <v>1039</v>
      </c>
      <c r="BB5" s="7" t="s">
        <v>753</v>
      </c>
      <c r="BD5" s="7" t="s">
        <v>1028</v>
      </c>
      <c r="BG5" s="7">
        <v>65</v>
      </c>
      <c r="BH5" s="7" t="s">
        <v>251</v>
      </c>
      <c r="BI5" s="13">
        <v>66.7</v>
      </c>
      <c r="BK5" s="7" t="s">
        <v>251</v>
      </c>
      <c r="BL5" s="14">
        <v>7000</v>
      </c>
      <c r="BM5" s="7" t="s">
        <v>336</v>
      </c>
      <c r="BS5" s="7" t="s">
        <v>337</v>
      </c>
      <c r="BU5" s="7" t="s">
        <v>556</v>
      </c>
      <c r="BX5" s="7" t="s">
        <v>350</v>
      </c>
      <c r="BZ5" s="7" t="s">
        <v>334</v>
      </c>
      <c r="CL5" s="14"/>
    </row>
    <row r="6" spans="1:103" x14ac:dyDescent="0.2">
      <c r="A6" s="6" t="s">
        <v>30</v>
      </c>
      <c r="B6" s="7" t="s">
        <v>251</v>
      </c>
      <c r="C6" s="7" t="s">
        <v>334</v>
      </c>
      <c r="F6" s="7" t="s">
        <v>1018</v>
      </c>
      <c r="G6" s="7">
        <v>5</v>
      </c>
      <c r="I6" s="7" t="s">
        <v>251</v>
      </c>
      <c r="J6" s="7" t="s">
        <v>334</v>
      </c>
      <c r="S6" s="7" t="s">
        <v>251</v>
      </c>
      <c r="T6" s="7" t="s">
        <v>334</v>
      </c>
      <c r="X6" s="7" t="s">
        <v>1019</v>
      </c>
      <c r="Z6" s="7" t="s">
        <v>753</v>
      </c>
      <c r="AB6" s="7">
        <v>17</v>
      </c>
      <c r="AC6" s="7" t="s">
        <v>251</v>
      </c>
      <c r="AD6" s="10">
        <v>1</v>
      </c>
      <c r="AF6" s="7" t="s">
        <v>334</v>
      </c>
      <c r="AG6" s="14"/>
      <c r="AH6" s="7" t="s">
        <v>336</v>
      </c>
      <c r="AN6" s="7" t="s">
        <v>343</v>
      </c>
      <c r="AU6" s="7" t="s">
        <v>251</v>
      </c>
      <c r="AV6" s="7" t="s">
        <v>334</v>
      </c>
      <c r="AZ6" s="7" t="s">
        <v>1019</v>
      </c>
      <c r="BB6" s="7" t="s">
        <v>753</v>
      </c>
      <c r="BD6" s="7" t="s">
        <v>1023</v>
      </c>
      <c r="BH6" s="7" t="s">
        <v>251</v>
      </c>
      <c r="BI6" s="13">
        <v>66.67</v>
      </c>
      <c r="BK6" s="7" t="s">
        <v>251</v>
      </c>
      <c r="BL6" s="14">
        <v>15000</v>
      </c>
      <c r="BM6" s="7" t="s">
        <v>336</v>
      </c>
      <c r="BS6" s="7" t="s">
        <v>337</v>
      </c>
      <c r="BU6" s="7" t="s">
        <v>556</v>
      </c>
      <c r="BX6" s="7" t="s">
        <v>344</v>
      </c>
      <c r="BZ6" s="7" t="s">
        <v>345</v>
      </c>
      <c r="CL6" s="14"/>
    </row>
    <row r="7" spans="1:103" x14ac:dyDescent="0.2">
      <c r="A7" s="6" t="s">
        <v>66</v>
      </c>
      <c r="B7" s="7" t="s">
        <v>334</v>
      </c>
      <c r="S7" s="7" t="s">
        <v>334</v>
      </c>
      <c r="AG7" s="14"/>
      <c r="AU7" s="7" t="s">
        <v>334</v>
      </c>
      <c r="BI7" s="13"/>
      <c r="BL7" s="14"/>
      <c r="BZ7" s="7" t="s">
        <v>334</v>
      </c>
      <c r="CL7" s="14"/>
    </row>
    <row r="8" spans="1:103" ht="51" x14ac:dyDescent="0.2">
      <c r="A8" s="6" t="s">
        <v>34</v>
      </c>
      <c r="B8" s="7" t="s">
        <v>251</v>
      </c>
      <c r="C8" s="7" t="s">
        <v>334</v>
      </c>
      <c r="F8" s="7" t="s">
        <v>1052</v>
      </c>
      <c r="H8" s="7" t="s">
        <v>1053</v>
      </c>
      <c r="I8" s="7" t="s">
        <v>251</v>
      </c>
      <c r="J8" s="7" t="s">
        <v>334</v>
      </c>
      <c r="S8" s="7" t="s">
        <v>251</v>
      </c>
      <c r="T8" s="7" t="s">
        <v>334</v>
      </c>
      <c r="W8" s="7">
        <v>7</v>
      </c>
      <c r="X8" s="7" t="s">
        <v>1019</v>
      </c>
      <c r="Z8" s="7" t="s">
        <v>753</v>
      </c>
      <c r="AB8" s="7">
        <v>26</v>
      </c>
      <c r="AC8" s="7" t="s">
        <v>334</v>
      </c>
      <c r="AE8" s="7" t="s">
        <v>1054</v>
      </c>
      <c r="AF8" s="7" t="s">
        <v>251</v>
      </c>
      <c r="AG8" s="14">
        <v>800</v>
      </c>
      <c r="AH8" s="7" t="s">
        <v>336</v>
      </c>
      <c r="AN8" s="7" t="s">
        <v>337</v>
      </c>
      <c r="AP8" s="7" t="s">
        <v>556</v>
      </c>
      <c r="AS8" s="7" t="s">
        <v>344</v>
      </c>
      <c r="AU8" s="7" t="s">
        <v>251</v>
      </c>
      <c r="AV8" s="7" t="s">
        <v>334</v>
      </c>
      <c r="AY8" s="7">
        <v>26</v>
      </c>
      <c r="AZ8" s="7" t="s">
        <v>1019</v>
      </c>
      <c r="BB8" s="7" t="s">
        <v>753</v>
      </c>
      <c r="BD8" s="7" t="s">
        <v>1028</v>
      </c>
      <c r="BG8" s="7">
        <v>65</v>
      </c>
      <c r="BH8" s="7" t="s">
        <v>251</v>
      </c>
      <c r="BI8" s="13">
        <v>65</v>
      </c>
      <c r="BK8" s="7" t="s">
        <v>251</v>
      </c>
      <c r="BL8" s="14">
        <v>10000</v>
      </c>
      <c r="BM8" s="7" t="s">
        <v>336</v>
      </c>
      <c r="BS8" s="7" t="s">
        <v>337</v>
      </c>
      <c r="BU8" s="7" t="s">
        <v>556</v>
      </c>
      <c r="BX8" s="7" t="s">
        <v>344</v>
      </c>
      <c r="BZ8" s="7" t="s">
        <v>334</v>
      </c>
      <c r="CL8" s="14"/>
    </row>
    <row r="9" spans="1:103" ht="51" x14ac:dyDescent="0.2">
      <c r="A9" s="6" t="s">
        <v>31</v>
      </c>
      <c r="B9" s="7" t="s">
        <v>334</v>
      </c>
      <c r="S9" s="7" t="s">
        <v>251</v>
      </c>
      <c r="T9" s="7" t="s">
        <v>334</v>
      </c>
      <c r="W9" s="7">
        <v>5</v>
      </c>
      <c r="X9" s="7" t="s">
        <v>1019</v>
      </c>
      <c r="Z9" s="7" t="s">
        <v>2898</v>
      </c>
      <c r="AB9" s="7">
        <v>26</v>
      </c>
      <c r="AC9" s="7" t="s">
        <v>334</v>
      </c>
      <c r="AE9" s="7" t="s">
        <v>1047</v>
      </c>
      <c r="AF9" s="7" t="s">
        <v>334</v>
      </c>
      <c r="AG9" s="14"/>
      <c r="AH9" s="7" t="s">
        <v>336</v>
      </c>
      <c r="AN9" s="7" t="s">
        <v>343</v>
      </c>
      <c r="AS9" s="7" t="s">
        <v>130</v>
      </c>
      <c r="AT9" s="7" t="s">
        <v>1048</v>
      </c>
      <c r="AU9" s="7" t="s">
        <v>251</v>
      </c>
      <c r="AV9" s="7" t="s">
        <v>334</v>
      </c>
      <c r="AY9" s="7">
        <v>26</v>
      </c>
      <c r="AZ9" s="7" t="s">
        <v>1033</v>
      </c>
      <c r="BB9" s="7" t="s">
        <v>2898</v>
      </c>
      <c r="BD9" s="7" t="s">
        <v>1028</v>
      </c>
      <c r="BG9" s="7">
        <v>65</v>
      </c>
      <c r="BH9" s="7" t="s">
        <v>251</v>
      </c>
      <c r="BI9" s="13">
        <v>50</v>
      </c>
      <c r="BK9" s="7" t="s">
        <v>251</v>
      </c>
      <c r="BL9" s="14">
        <v>15000</v>
      </c>
      <c r="BM9" s="7" t="s">
        <v>336</v>
      </c>
      <c r="BS9" s="7" t="s">
        <v>337</v>
      </c>
      <c r="BU9" s="7" t="s">
        <v>556</v>
      </c>
      <c r="BX9" s="7" t="s">
        <v>350</v>
      </c>
      <c r="BZ9" s="7" t="s">
        <v>334</v>
      </c>
      <c r="CL9" s="14"/>
    </row>
    <row r="10" spans="1:103" ht="25.5" x14ac:dyDescent="0.2">
      <c r="A10" s="6" t="s">
        <v>46</v>
      </c>
      <c r="B10" s="7" t="s">
        <v>334</v>
      </c>
      <c r="S10" s="7" t="s">
        <v>251</v>
      </c>
      <c r="T10" s="7" t="s">
        <v>334</v>
      </c>
      <c r="W10" s="7">
        <v>0</v>
      </c>
      <c r="X10" s="7" t="s">
        <v>1019</v>
      </c>
      <c r="Z10" s="7" t="s">
        <v>2912</v>
      </c>
      <c r="AB10" s="7">
        <v>16</v>
      </c>
      <c r="AC10" s="7" t="s">
        <v>251</v>
      </c>
      <c r="AD10" s="10">
        <v>1</v>
      </c>
      <c r="AF10" s="7" t="s">
        <v>334</v>
      </c>
      <c r="AG10" s="14"/>
      <c r="AH10" s="7" t="s">
        <v>336</v>
      </c>
      <c r="AN10" s="7" t="s">
        <v>343</v>
      </c>
      <c r="AU10" s="7" t="s">
        <v>251</v>
      </c>
      <c r="AV10" s="7" t="s">
        <v>334</v>
      </c>
      <c r="AY10" s="7">
        <v>16</v>
      </c>
      <c r="AZ10" s="7" t="s">
        <v>1033</v>
      </c>
      <c r="BB10" s="7" t="s">
        <v>753</v>
      </c>
      <c r="BD10" s="7" t="s">
        <v>1023</v>
      </c>
      <c r="BH10" s="7" t="s">
        <v>251</v>
      </c>
      <c r="BI10" s="13">
        <v>66.67</v>
      </c>
      <c r="BK10" s="7" t="s">
        <v>251</v>
      </c>
      <c r="BL10" s="14">
        <v>15000</v>
      </c>
      <c r="BM10" s="7" t="s">
        <v>336</v>
      </c>
      <c r="BS10" s="7" t="s">
        <v>337</v>
      </c>
      <c r="BU10" s="7" t="s">
        <v>556</v>
      </c>
      <c r="BX10" s="7" t="s">
        <v>130</v>
      </c>
      <c r="BY10" s="7" t="s">
        <v>338</v>
      </c>
      <c r="BZ10" s="7" t="s">
        <v>334</v>
      </c>
      <c r="CL10" s="14"/>
    </row>
    <row r="11" spans="1:103" x14ac:dyDescent="0.2">
      <c r="A11" s="6" t="s">
        <v>42</v>
      </c>
      <c r="B11" s="7" t="s">
        <v>251</v>
      </c>
      <c r="C11" s="7" t="s">
        <v>334</v>
      </c>
      <c r="F11" s="7" t="s">
        <v>1018</v>
      </c>
      <c r="G11" s="7">
        <v>10</v>
      </c>
      <c r="I11" s="7" t="s">
        <v>334</v>
      </c>
      <c r="J11" s="7" t="s">
        <v>334</v>
      </c>
      <c r="S11" s="7" t="s">
        <v>251</v>
      </c>
      <c r="T11" s="7" t="s">
        <v>334</v>
      </c>
      <c r="W11" s="7">
        <v>7</v>
      </c>
      <c r="X11" s="7" t="s">
        <v>1019</v>
      </c>
      <c r="Z11" s="7" t="s">
        <v>753</v>
      </c>
      <c r="AB11" s="7">
        <v>17</v>
      </c>
      <c r="AC11" s="7" t="s">
        <v>251</v>
      </c>
      <c r="AD11" s="10">
        <v>0.75</v>
      </c>
      <c r="AF11" s="7" t="s">
        <v>251</v>
      </c>
      <c r="AG11" s="14">
        <v>1384</v>
      </c>
      <c r="AH11" s="7" t="s">
        <v>616</v>
      </c>
      <c r="AN11" s="7" t="s">
        <v>337</v>
      </c>
      <c r="AP11" s="7" t="s">
        <v>556</v>
      </c>
      <c r="AS11" s="7" t="s">
        <v>130</v>
      </c>
      <c r="AT11" s="7" t="s">
        <v>338</v>
      </c>
      <c r="AU11" s="7" t="s">
        <v>251</v>
      </c>
      <c r="AV11" s="7" t="s">
        <v>334</v>
      </c>
      <c r="AY11" s="7">
        <v>17</v>
      </c>
      <c r="AZ11" s="7" t="s">
        <v>1019</v>
      </c>
      <c r="BB11" s="7" t="s">
        <v>753</v>
      </c>
      <c r="BD11" s="7" t="s">
        <v>1023</v>
      </c>
      <c r="BH11" s="7" t="s">
        <v>251</v>
      </c>
      <c r="BI11" s="13">
        <v>70</v>
      </c>
      <c r="BK11" s="7" t="s">
        <v>251</v>
      </c>
      <c r="BL11" s="14">
        <v>10000</v>
      </c>
      <c r="BM11" s="7" t="s">
        <v>336</v>
      </c>
      <c r="BS11" s="7" t="s">
        <v>337</v>
      </c>
      <c r="BU11" s="7" t="s">
        <v>556</v>
      </c>
      <c r="BX11" s="7" t="s">
        <v>130</v>
      </c>
      <c r="BY11" s="7" t="s">
        <v>338</v>
      </c>
      <c r="BZ11" s="7" t="s">
        <v>334</v>
      </c>
      <c r="CL11" s="14"/>
    </row>
    <row r="12" spans="1:103" ht="76.5" x14ac:dyDescent="0.2">
      <c r="A12" s="6" t="s">
        <v>33</v>
      </c>
      <c r="B12" s="7" t="s">
        <v>251</v>
      </c>
      <c r="C12" s="7" t="s">
        <v>334</v>
      </c>
      <c r="F12" s="7" t="s">
        <v>1018</v>
      </c>
      <c r="I12" s="7" t="s">
        <v>251</v>
      </c>
      <c r="J12" s="7" t="s">
        <v>334</v>
      </c>
      <c r="S12" s="7" t="s">
        <v>251</v>
      </c>
      <c r="T12" s="7" t="s">
        <v>334</v>
      </c>
      <c r="X12" s="7" t="s">
        <v>1019</v>
      </c>
      <c r="Z12" s="7" t="s">
        <v>753</v>
      </c>
      <c r="AB12" s="7">
        <v>26</v>
      </c>
      <c r="AC12" s="7" t="s">
        <v>334</v>
      </c>
      <c r="AE12" s="7" t="s">
        <v>1050</v>
      </c>
      <c r="AF12" s="7" t="s">
        <v>334</v>
      </c>
      <c r="AG12" s="14"/>
      <c r="AH12" s="7" t="s">
        <v>336</v>
      </c>
      <c r="AN12" s="7" t="s">
        <v>343</v>
      </c>
      <c r="AS12" s="7" t="s">
        <v>130</v>
      </c>
      <c r="AT12" s="7" t="s">
        <v>1048</v>
      </c>
      <c r="AU12" s="7" t="s">
        <v>251</v>
      </c>
      <c r="AV12" s="7" t="s">
        <v>334</v>
      </c>
      <c r="AY12" s="7">
        <v>26</v>
      </c>
      <c r="AZ12" s="7" t="s">
        <v>1033</v>
      </c>
      <c r="BB12" s="7" t="s">
        <v>2898</v>
      </c>
      <c r="BD12" s="7" t="s">
        <v>1028</v>
      </c>
      <c r="BG12" s="7">
        <v>65</v>
      </c>
      <c r="BH12" s="7" t="s">
        <v>334</v>
      </c>
      <c r="BI12" s="13"/>
      <c r="BJ12" s="7" t="s">
        <v>1051</v>
      </c>
      <c r="BK12" s="7" t="s">
        <v>251</v>
      </c>
      <c r="BL12" s="14">
        <v>15000</v>
      </c>
      <c r="BM12" s="7" t="s">
        <v>340</v>
      </c>
      <c r="BS12" s="7" t="s">
        <v>337</v>
      </c>
      <c r="BX12" s="7" t="s">
        <v>350</v>
      </c>
      <c r="BZ12" s="7" t="s">
        <v>334</v>
      </c>
      <c r="CL12" s="14"/>
    </row>
    <row r="13" spans="1:103" ht="25.5" x14ac:dyDescent="0.2">
      <c r="A13" s="6" t="s">
        <v>55</v>
      </c>
      <c r="B13" s="7" t="s">
        <v>334</v>
      </c>
      <c r="S13" s="7" t="s">
        <v>251</v>
      </c>
      <c r="T13" s="7" t="s">
        <v>334</v>
      </c>
      <c r="X13" s="7" t="s">
        <v>1019</v>
      </c>
      <c r="Z13" s="7" t="s">
        <v>753</v>
      </c>
      <c r="AB13" s="7">
        <v>17</v>
      </c>
      <c r="AC13" s="7" t="s">
        <v>334</v>
      </c>
      <c r="AE13" s="7" t="s">
        <v>1075</v>
      </c>
      <c r="AF13" s="7" t="s">
        <v>334</v>
      </c>
      <c r="AG13" s="14"/>
      <c r="AH13" s="7" t="s">
        <v>336</v>
      </c>
      <c r="AN13" s="7" t="s">
        <v>343</v>
      </c>
      <c r="AS13" s="7" t="s">
        <v>350</v>
      </c>
      <c r="AU13" s="7" t="s">
        <v>251</v>
      </c>
      <c r="AV13" s="7" t="s">
        <v>334</v>
      </c>
      <c r="AY13" s="7">
        <v>17</v>
      </c>
      <c r="AZ13" s="7" t="s">
        <v>1019</v>
      </c>
      <c r="BB13" s="7" t="s">
        <v>753</v>
      </c>
      <c r="BD13" s="7" t="s">
        <v>1023</v>
      </c>
      <c r="BH13" s="7" t="s">
        <v>251</v>
      </c>
      <c r="BI13" s="13">
        <v>66.7</v>
      </c>
      <c r="BK13" s="7" t="s">
        <v>251</v>
      </c>
      <c r="BL13" s="14">
        <v>10000</v>
      </c>
      <c r="BM13" s="7" t="s">
        <v>616</v>
      </c>
      <c r="BS13" s="7" t="s">
        <v>337</v>
      </c>
      <c r="BU13" s="7" t="s">
        <v>756</v>
      </c>
      <c r="BX13" s="7" t="s">
        <v>350</v>
      </c>
      <c r="BZ13" s="7" t="s">
        <v>334</v>
      </c>
      <c r="CL13" s="14"/>
    </row>
    <row r="14" spans="1:103" ht="38.25" x14ac:dyDescent="0.2">
      <c r="A14" s="6" t="s">
        <v>48</v>
      </c>
      <c r="B14" s="7" t="s">
        <v>334</v>
      </c>
      <c r="S14" s="7" t="s">
        <v>334</v>
      </c>
      <c r="AG14" s="14"/>
      <c r="AU14" s="7" t="s">
        <v>251</v>
      </c>
      <c r="AV14" s="7" t="s">
        <v>334</v>
      </c>
      <c r="AY14" s="7">
        <v>17</v>
      </c>
      <c r="AZ14" s="7" t="s">
        <v>1019</v>
      </c>
      <c r="BB14" s="7" t="s">
        <v>753</v>
      </c>
      <c r="BD14" s="7" t="s">
        <v>1023</v>
      </c>
      <c r="BH14" s="7" t="s">
        <v>334</v>
      </c>
      <c r="BI14" s="13"/>
      <c r="BJ14" s="7" t="s">
        <v>1067</v>
      </c>
      <c r="BK14" s="7" t="s">
        <v>251</v>
      </c>
      <c r="BL14" s="14">
        <v>10000</v>
      </c>
      <c r="BM14" s="7" t="s">
        <v>336</v>
      </c>
      <c r="BS14" s="7" t="s">
        <v>337</v>
      </c>
      <c r="BU14" s="7" t="s">
        <v>556</v>
      </c>
      <c r="BX14" s="7" t="s">
        <v>130</v>
      </c>
      <c r="BY14" s="7" t="s">
        <v>410</v>
      </c>
      <c r="BZ14" s="7" t="s">
        <v>251</v>
      </c>
      <c r="CA14" s="7" t="s">
        <v>334</v>
      </c>
      <c r="CD14" s="7" t="s">
        <v>738</v>
      </c>
      <c r="CF14" s="7" t="s">
        <v>130</v>
      </c>
      <c r="CG14" s="7" t="s">
        <v>1068</v>
      </c>
      <c r="CH14" s="7" t="s">
        <v>130</v>
      </c>
      <c r="CI14" s="7" t="s">
        <v>1069</v>
      </c>
      <c r="CK14" s="7" t="s">
        <v>251</v>
      </c>
      <c r="CL14" s="14">
        <v>2500000</v>
      </c>
      <c r="CM14" s="7" t="s">
        <v>336</v>
      </c>
      <c r="CS14" s="7" t="s">
        <v>337</v>
      </c>
      <c r="CU14" s="7" t="s">
        <v>556</v>
      </c>
      <c r="CX14" s="7" t="s">
        <v>130</v>
      </c>
      <c r="CY14" s="7" t="s">
        <v>410</v>
      </c>
    </row>
    <row r="15" spans="1:103" ht="25.5" x14ac:dyDescent="0.2">
      <c r="A15" s="6" t="s">
        <v>57</v>
      </c>
      <c r="B15" s="7" t="s">
        <v>334</v>
      </c>
      <c r="S15" s="7" t="s">
        <v>251</v>
      </c>
      <c r="T15" s="7" t="s">
        <v>334</v>
      </c>
      <c r="W15" s="7">
        <v>7</v>
      </c>
      <c r="X15" s="7" t="s">
        <v>1019</v>
      </c>
      <c r="Z15" s="7" t="s">
        <v>2898</v>
      </c>
      <c r="AB15" s="7">
        <v>17</v>
      </c>
      <c r="AC15" s="7" t="s">
        <v>251</v>
      </c>
      <c r="AD15" s="23">
        <v>0.66669999999999996</v>
      </c>
      <c r="AF15" s="7" t="s">
        <v>251</v>
      </c>
      <c r="AG15" s="14">
        <v>1750</v>
      </c>
      <c r="AH15" s="7" t="s">
        <v>336</v>
      </c>
      <c r="AN15" s="7" t="s">
        <v>337</v>
      </c>
      <c r="AP15" s="7" t="s">
        <v>556</v>
      </c>
      <c r="AS15" s="7" t="s">
        <v>344</v>
      </c>
      <c r="AU15" s="7" t="s">
        <v>251</v>
      </c>
      <c r="AV15" s="7" t="s">
        <v>334</v>
      </c>
      <c r="AY15" s="7">
        <v>17</v>
      </c>
      <c r="AZ15" s="7" t="s">
        <v>1019</v>
      </c>
      <c r="BB15" s="7" t="s">
        <v>2898</v>
      </c>
      <c r="BD15" s="7" t="s">
        <v>1028</v>
      </c>
      <c r="BG15" s="7">
        <v>65</v>
      </c>
      <c r="BH15" s="7" t="s">
        <v>251</v>
      </c>
      <c r="BI15" s="13">
        <v>66.67</v>
      </c>
      <c r="BK15" s="7" t="s">
        <v>251</v>
      </c>
      <c r="BL15" s="14">
        <v>7500</v>
      </c>
      <c r="BM15" s="7" t="s">
        <v>336</v>
      </c>
      <c r="BS15" s="7" t="s">
        <v>337</v>
      </c>
      <c r="BU15" s="7" t="s">
        <v>556</v>
      </c>
      <c r="BX15" s="7" t="s">
        <v>344</v>
      </c>
      <c r="BZ15" s="7" t="s">
        <v>334</v>
      </c>
      <c r="CL15" s="14"/>
    </row>
    <row r="16" spans="1:103" x14ac:dyDescent="0.2">
      <c r="A16" s="6" t="s">
        <v>54</v>
      </c>
      <c r="B16" s="7" t="s">
        <v>334</v>
      </c>
      <c r="S16" s="7" t="s">
        <v>251</v>
      </c>
      <c r="T16" s="7" t="s">
        <v>334</v>
      </c>
      <c r="W16" s="7">
        <v>7</v>
      </c>
      <c r="X16" s="7" t="s">
        <v>1019</v>
      </c>
      <c r="Z16" s="7" t="s">
        <v>2898</v>
      </c>
      <c r="AB16" s="7">
        <v>17</v>
      </c>
      <c r="AC16" s="7" t="s">
        <v>251</v>
      </c>
      <c r="AD16" s="23">
        <v>0.66669999999999996</v>
      </c>
      <c r="AF16" s="7" t="s">
        <v>251</v>
      </c>
      <c r="AG16" s="14">
        <v>2500</v>
      </c>
      <c r="AH16" s="7" t="s">
        <v>336</v>
      </c>
      <c r="AN16" s="7" t="s">
        <v>337</v>
      </c>
      <c r="AP16" s="7" t="s">
        <v>556</v>
      </c>
      <c r="AS16" s="7" t="s">
        <v>350</v>
      </c>
      <c r="AU16" s="7" t="s">
        <v>251</v>
      </c>
      <c r="AV16" s="7" t="s">
        <v>334</v>
      </c>
      <c r="AY16" s="7">
        <v>17</v>
      </c>
      <c r="AZ16" s="7" t="s">
        <v>1033</v>
      </c>
      <c r="BB16" s="7" t="s">
        <v>2898</v>
      </c>
      <c r="BD16" s="7" t="s">
        <v>1023</v>
      </c>
      <c r="BH16" s="7" t="s">
        <v>251</v>
      </c>
      <c r="BI16" s="13">
        <v>66.67</v>
      </c>
      <c r="BK16" s="7" t="s">
        <v>251</v>
      </c>
      <c r="BL16" s="14">
        <v>12000</v>
      </c>
      <c r="BM16" s="7" t="s">
        <v>336</v>
      </c>
      <c r="BS16" s="7" t="s">
        <v>337</v>
      </c>
      <c r="BU16" s="7" t="s">
        <v>556</v>
      </c>
      <c r="BX16" s="7" t="s">
        <v>350</v>
      </c>
      <c r="BZ16" s="7" t="s">
        <v>334</v>
      </c>
      <c r="CL16" s="14"/>
    </row>
    <row r="17" spans="1:90" x14ac:dyDescent="0.2">
      <c r="A17" s="6" t="s">
        <v>23</v>
      </c>
      <c r="B17" s="7" t="s">
        <v>251</v>
      </c>
      <c r="C17" s="7" t="s">
        <v>334</v>
      </c>
      <c r="F17" s="7" t="s">
        <v>1018</v>
      </c>
      <c r="G17" s="7">
        <v>5</v>
      </c>
      <c r="I17" s="7" t="s">
        <v>334</v>
      </c>
      <c r="J17" s="7" t="s">
        <v>334</v>
      </c>
      <c r="S17" s="7" t="s">
        <v>251</v>
      </c>
      <c r="T17" s="7" t="s">
        <v>334</v>
      </c>
      <c r="W17" s="7">
        <v>7</v>
      </c>
      <c r="X17" s="7" t="s">
        <v>1033</v>
      </c>
      <c r="AB17" s="7">
        <v>17</v>
      </c>
      <c r="AC17" s="7" t="s">
        <v>251</v>
      </c>
      <c r="AD17" s="10">
        <v>0.75</v>
      </c>
      <c r="AF17" s="7" t="s">
        <v>334</v>
      </c>
      <c r="AG17" s="14"/>
      <c r="AH17" s="7" t="s">
        <v>336</v>
      </c>
      <c r="AN17" s="7" t="s">
        <v>343</v>
      </c>
      <c r="AS17" s="7" t="s">
        <v>344</v>
      </c>
      <c r="AU17" s="7" t="s">
        <v>251</v>
      </c>
      <c r="AV17" s="7" t="s">
        <v>334</v>
      </c>
      <c r="AY17" s="7">
        <v>17</v>
      </c>
      <c r="AZ17" s="7" t="s">
        <v>1019</v>
      </c>
      <c r="BB17" s="7" t="s">
        <v>753</v>
      </c>
      <c r="BD17" s="7" t="s">
        <v>130</v>
      </c>
      <c r="BE17" s="7" t="s">
        <v>1042</v>
      </c>
      <c r="BH17" s="7" t="s">
        <v>251</v>
      </c>
      <c r="BI17" s="13"/>
      <c r="BK17" s="7" t="s">
        <v>334</v>
      </c>
      <c r="BL17" s="14"/>
      <c r="BM17" s="7" t="s">
        <v>616</v>
      </c>
      <c r="BS17" s="7" t="s">
        <v>343</v>
      </c>
      <c r="BX17" s="7" t="s">
        <v>344</v>
      </c>
      <c r="BZ17" s="7" t="s">
        <v>334</v>
      </c>
      <c r="CL17" s="14"/>
    </row>
    <row r="18" spans="1:90" x14ac:dyDescent="0.2">
      <c r="A18" s="6" t="s">
        <v>27</v>
      </c>
      <c r="B18" s="7" t="s">
        <v>334</v>
      </c>
      <c r="S18" s="7" t="s">
        <v>251</v>
      </c>
      <c r="T18" s="7" t="s">
        <v>334</v>
      </c>
      <c r="W18" s="7">
        <v>0</v>
      </c>
      <c r="X18" s="7" t="s">
        <v>1033</v>
      </c>
      <c r="Z18" s="7" t="s">
        <v>2898</v>
      </c>
      <c r="AB18" s="7">
        <v>16</v>
      </c>
      <c r="AC18" s="7" t="s">
        <v>251</v>
      </c>
      <c r="AD18" s="23">
        <v>0.66669999999999996</v>
      </c>
      <c r="AF18" s="7" t="s">
        <v>251</v>
      </c>
      <c r="AG18" s="14">
        <v>4000</v>
      </c>
      <c r="AH18" s="7" t="s">
        <v>336</v>
      </c>
      <c r="AN18" s="7" t="s">
        <v>337</v>
      </c>
      <c r="AP18" s="7" t="s">
        <v>756</v>
      </c>
      <c r="AS18" s="7" t="s">
        <v>130</v>
      </c>
      <c r="AT18" s="7" t="s">
        <v>338</v>
      </c>
      <c r="AU18" s="7" t="s">
        <v>251</v>
      </c>
      <c r="AV18" s="7" t="s">
        <v>334</v>
      </c>
      <c r="AY18" s="7">
        <v>16</v>
      </c>
      <c r="AZ18" s="7" t="s">
        <v>1033</v>
      </c>
      <c r="BB18" s="7" t="s">
        <v>2898</v>
      </c>
      <c r="BD18" s="7" t="s">
        <v>1023</v>
      </c>
      <c r="BH18" s="7" t="s">
        <v>251</v>
      </c>
      <c r="BI18" s="13">
        <v>66.67</v>
      </c>
      <c r="BK18" s="7" t="s">
        <v>251</v>
      </c>
      <c r="BL18" s="14">
        <v>17000</v>
      </c>
      <c r="BM18" s="7" t="s">
        <v>336</v>
      </c>
      <c r="BS18" s="7" t="s">
        <v>337</v>
      </c>
      <c r="BU18" s="7" t="s">
        <v>756</v>
      </c>
      <c r="BX18" s="7" t="s">
        <v>130</v>
      </c>
      <c r="BY18" s="7" t="s">
        <v>338</v>
      </c>
      <c r="BZ18" s="7" t="s">
        <v>334</v>
      </c>
      <c r="CL18" s="14"/>
    </row>
    <row r="19" spans="1:90" ht="51" x14ac:dyDescent="0.2">
      <c r="A19" s="6" t="s">
        <v>63</v>
      </c>
      <c r="B19" s="7" t="s">
        <v>251</v>
      </c>
      <c r="C19" s="7" t="s">
        <v>334</v>
      </c>
      <c r="F19" s="7" t="s">
        <v>1018</v>
      </c>
      <c r="G19" s="7">
        <v>10</v>
      </c>
      <c r="I19" s="7" t="s">
        <v>334</v>
      </c>
      <c r="J19" s="7" t="s">
        <v>334</v>
      </c>
      <c r="S19" s="7" t="s">
        <v>334</v>
      </c>
      <c r="AG19" s="14"/>
      <c r="AU19" s="7" t="s">
        <v>251</v>
      </c>
      <c r="AV19" s="7" t="s">
        <v>334</v>
      </c>
      <c r="AY19" s="7">
        <v>17</v>
      </c>
      <c r="AZ19" s="7" t="s">
        <v>130</v>
      </c>
      <c r="BA19" s="7" t="s">
        <v>1080</v>
      </c>
      <c r="BB19" s="7" t="s">
        <v>753</v>
      </c>
      <c r="BD19" s="7" t="s">
        <v>130</v>
      </c>
      <c r="BE19" s="7" t="s">
        <v>1081</v>
      </c>
      <c r="BH19" s="7" t="s">
        <v>251</v>
      </c>
      <c r="BI19" s="13"/>
      <c r="BK19" s="7" t="s">
        <v>251</v>
      </c>
      <c r="BL19" s="14">
        <v>6000</v>
      </c>
      <c r="BM19" s="7" t="s">
        <v>336</v>
      </c>
      <c r="BS19" s="7" t="s">
        <v>337</v>
      </c>
      <c r="BU19" s="7" t="s">
        <v>130</v>
      </c>
      <c r="BV19" s="7" t="s">
        <v>897</v>
      </c>
      <c r="BX19" s="7" t="s">
        <v>386</v>
      </c>
      <c r="BZ19" s="7" t="s">
        <v>334</v>
      </c>
      <c r="CL19" s="14"/>
    </row>
    <row r="20" spans="1:90" ht="38.25" x14ac:dyDescent="0.2">
      <c r="A20" s="6" t="s">
        <v>25</v>
      </c>
      <c r="B20" s="7" t="s">
        <v>251</v>
      </c>
      <c r="C20" s="7" t="s">
        <v>334</v>
      </c>
      <c r="F20" s="7" t="s">
        <v>1018</v>
      </c>
      <c r="G20" s="7">
        <v>10</v>
      </c>
      <c r="I20" s="7" t="s">
        <v>334</v>
      </c>
      <c r="J20" s="7" t="s">
        <v>334</v>
      </c>
      <c r="S20" s="7" t="s">
        <v>251</v>
      </c>
      <c r="T20" s="7" t="s">
        <v>334</v>
      </c>
      <c r="W20" s="7">
        <v>7</v>
      </c>
      <c r="X20" s="7" t="s">
        <v>1019</v>
      </c>
      <c r="Z20" s="7" t="s">
        <v>753</v>
      </c>
      <c r="AB20" s="7">
        <v>17</v>
      </c>
      <c r="AC20" s="7" t="s">
        <v>334</v>
      </c>
      <c r="AE20" s="7" t="s">
        <v>1044</v>
      </c>
      <c r="AF20" s="7" t="s">
        <v>334</v>
      </c>
      <c r="AG20" s="14"/>
      <c r="AH20" s="7" t="s">
        <v>336</v>
      </c>
      <c r="AN20" s="7" t="s">
        <v>343</v>
      </c>
      <c r="AU20" s="7" t="s">
        <v>251</v>
      </c>
      <c r="AV20" s="7" t="s">
        <v>334</v>
      </c>
      <c r="AY20" s="7">
        <v>17</v>
      </c>
      <c r="AZ20" s="7" t="s">
        <v>1019</v>
      </c>
      <c r="BB20" s="7" t="s">
        <v>2898</v>
      </c>
      <c r="BD20" s="7" t="s">
        <v>1028</v>
      </c>
      <c r="BG20" s="7">
        <v>65</v>
      </c>
      <c r="BH20" s="7" t="s">
        <v>251</v>
      </c>
      <c r="BI20" s="13"/>
      <c r="BK20" s="7" t="s">
        <v>251</v>
      </c>
      <c r="BL20" s="14">
        <v>15000</v>
      </c>
      <c r="BM20" s="7" t="s">
        <v>336</v>
      </c>
      <c r="BS20" s="7" t="s">
        <v>337</v>
      </c>
      <c r="BU20" s="7" t="s">
        <v>556</v>
      </c>
      <c r="BX20" s="7" t="s">
        <v>1030</v>
      </c>
      <c r="BZ20" s="7" t="s">
        <v>334</v>
      </c>
      <c r="CL20" s="14"/>
    </row>
    <row r="21" spans="1:90" x14ac:dyDescent="0.2">
      <c r="A21" s="6" t="s">
        <v>26</v>
      </c>
      <c r="B21" s="7" t="s">
        <v>251</v>
      </c>
      <c r="C21" s="7" t="s">
        <v>334</v>
      </c>
      <c r="F21" s="7" t="s">
        <v>1018</v>
      </c>
      <c r="G21" s="7">
        <v>8</v>
      </c>
      <c r="I21" s="7" t="s">
        <v>251</v>
      </c>
      <c r="J21" s="7" t="s">
        <v>334</v>
      </c>
      <c r="S21" s="7" t="s">
        <v>334</v>
      </c>
      <c r="AG21" s="14"/>
      <c r="AU21" s="7" t="s">
        <v>334</v>
      </c>
      <c r="BI21" s="13"/>
      <c r="BL21" s="14"/>
      <c r="BZ21" s="7" t="s">
        <v>334</v>
      </c>
      <c r="CL21" s="14"/>
    </row>
    <row r="22" spans="1:90" x14ac:dyDescent="0.2">
      <c r="A22" s="6" t="s">
        <v>20</v>
      </c>
      <c r="B22" s="7" t="s">
        <v>251</v>
      </c>
      <c r="C22" s="7" t="s">
        <v>334</v>
      </c>
      <c r="F22" s="7" t="s">
        <v>1018</v>
      </c>
      <c r="G22" s="7">
        <v>10</v>
      </c>
      <c r="I22" s="7" t="s">
        <v>251</v>
      </c>
      <c r="J22" s="7" t="s">
        <v>334</v>
      </c>
      <c r="S22" s="7" t="s">
        <v>251</v>
      </c>
      <c r="T22" s="7" t="s">
        <v>334</v>
      </c>
      <c r="W22" s="7">
        <v>10</v>
      </c>
      <c r="X22" s="7" t="s">
        <v>1033</v>
      </c>
      <c r="Z22" s="7" t="s">
        <v>2898</v>
      </c>
      <c r="AB22" s="7">
        <v>23</v>
      </c>
      <c r="AC22" s="7" t="s">
        <v>251</v>
      </c>
      <c r="AD22" s="10">
        <v>0</v>
      </c>
      <c r="AF22" s="7" t="s">
        <v>251</v>
      </c>
      <c r="AG22" s="14">
        <v>3000</v>
      </c>
      <c r="AH22" s="7" t="s">
        <v>336</v>
      </c>
      <c r="AN22" s="7" t="s">
        <v>337</v>
      </c>
      <c r="AP22" s="7" t="s">
        <v>556</v>
      </c>
      <c r="AS22" s="7" t="s">
        <v>350</v>
      </c>
      <c r="AU22" s="7" t="s">
        <v>251</v>
      </c>
      <c r="AV22" s="7" t="s">
        <v>334</v>
      </c>
      <c r="AY22" s="7">
        <v>23</v>
      </c>
      <c r="AZ22" s="7" t="s">
        <v>1033</v>
      </c>
      <c r="BB22" s="7" t="s">
        <v>2898</v>
      </c>
      <c r="BD22" s="7" t="s">
        <v>1023</v>
      </c>
      <c r="BH22" s="7" t="s">
        <v>251</v>
      </c>
      <c r="BI22" s="13">
        <v>66.599999999999994</v>
      </c>
      <c r="BK22" s="7" t="s">
        <v>251</v>
      </c>
      <c r="BL22" s="14">
        <v>10000</v>
      </c>
      <c r="BM22" s="7" t="s">
        <v>616</v>
      </c>
      <c r="BS22" s="7" t="s">
        <v>337</v>
      </c>
      <c r="BU22" s="7" t="s">
        <v>556</v>
      </c>
      <c r="BX22" s="7" t="s">
        <v>350</v>
      </c>
      <c r="BZ22" s="7" t="s">
        <v>334</v>
      </c>
      <c r="CL22" s="14"/>
    </row>
    <row r="23" spans="1:90" ht="25.5" x14ac:dyDescent="0.2">
      <c r="A23" s="6" t="s">
        <v>70</v>
      </c>
      <c r="B23" s="7" t="s">
        <v>251</v>
      </c>
      <c r="C23" s="7" t="s">
        <v>334</v>
      </c>
      <c r="F23" s="7" t="s">
        <v>1018</v>
      </c>
      <c r="G23" s="7">
        <v>7</v>
      </c>
      <c r="I23" s="7" t="s">
        <v>334</v>
      </c>
      <c r="J23" s="7" t="s">
        <v>334</v>
      </c>
      <c r="S23" s="7" t="s">
        <v>251</v>
      </c>
      <c r="T23" s="7" t="s">
        <v>334</v>
      </c>
      <c r="W23" s="7">
        <v>7</v>
      </c>
      <c r="X23" s="7" t="s">
        <v>1019</v>
      </c>
      <c r="Z23" s="7" t="s">
        <v>2902</v>
      </c>
      <c r="AB23" s="7">
        <v>16</v>
      </c>
      <c r="AC23" s="7" t="s">
        <v>251</v>
      </c>
      <c r="AD23" s="10">
        <v>0.67</v>
      </c>
      <c r="AF23" s="7" t="s">
        <v>251</v>
      </c>
      <c r="AG23" s="14">
        <v>2500</v>
      </c>
      <c r="AH23" s="7" t="s">
        <v>336</v>
      </c>
      <c r="AN23" s="7" t="s">
        <v>337</v>
      </c>
      <c r="AP23" s="7" t="s">
        <v>620</v>
      </c>
      <c r="AR23" s="7" t="s">
        <v>1089</v>
      </c>
      <c r="AS23" s="7" t="s">
        <v>130</v>
      </c>
      <c r="AT23" s="7" t="s">
        <v>435</v>
      </c>
      <c r="AU23" s="7" t="s">
        <v>251</v>
      </c>
      <c r="AV23" s="7" t="s">
        <v>334</v>
      </c>
      <c r="AY23" s="7">
        <v>16</v>
      </c>
      <c r="AZ23" s="7" t="s">
        <v>130</v>
      </c>
      <c r="BA23" s="7" t="s">
        <v>1090</v>
      </c>
      <c r="BB23" s="7" t="s">
        <v>2902</v>
      </c>
      <c r="BD23" s="7" t="s">
        <v>130</v>
      </c>
      <c r="BE23" s="7" t="s">
        <v>1091</v>
      </c>
      <c r="BH23" s="7" t="s">
        <v>251</v>
      </c>
      <c r="BI23" s="13">
        <v>67</v>
      </c>
      <c r="BK23" s="7" t="s">
        <v>251</v>
      </c>
      <c r="BL23" s="14">
        <v>6000</v>
      </c>
      <c r="BM23" s="7" t="s">
        <v>616</v>
      </c>
      <c r="BS23" s="7" t="s">
        <v>337</v>
      </c>
      <c r="BU23" s="7" t="s">
        <v>620</v>
      </c>
      <c r="BW23" s="7" t="s">
        <v>1092</v>
      </c>
      <c r="BX23" s="7" t="s">
        <v>130</v>
      </c>
      <c r="BY23" s="7" t="s">
        <v>435</v>
      </c>
      <c r="BZ23" s="7" t="s">
        <v>334</v>
      </c>
      <c r="CL23" s="14"/>
    </row>
    <row r="24" spans="1:90" x14ac:dyDescent="0.2">
      <c r="A24" s="6" t="s">
        <v>14</v>
      </c>
      <c r="B24" s="7" t="s">
        <v>334</v>
      </c>
      <c r="S24" s="7" t="s">
        <v>334</v>
      </c>
      <c r="AG24" s="14"/>
      <c r="AU24" s="7" t="s">
        <v>334</v>
      </c>
      <c r="BI24" s="13"/>
      <c r="BL24" s="14"/>
      <c r="BZ24" s="7" t="s">
        <v>334</v>
      </c>
      <c r="CL24" s="14"/>
    </row>
    <row r="25" spans="1:90" ht="89.25" x14ac:dyDescent="0.2">
      <c r="A25" s="6" t="s">
        <v>24</v>
      </c>
      <c r="B25" s="7" t="s">
        <v>334</v>
      </c>
      <c r="S25" s="7" t="s">
        <v>251</v>
      </c>
      <c r="T25" s="7" t="s">
        <v>334</v>
      </c>
      <c r="W25" s="7">
        <v>5</v>
      </c>
      <c r="X25" s="7" t="s">
        <v>1019</v>
      </c>
      <c r="Z25" s="7" t="s">
        <v>2898</v>
      </c>
      <c r="AB25" s="7">
        <v>17</v>
      </c>
      <c r="AC25" s="7" t="s">
        <v>334</v>
      </c>
      <c r="AE25" s="7" t="s">
        <v>1043</v>
      </c>
      <c r="AF25" s="7" t="s">
        <v>251</v>
      </c>
      <c r="AG25" s="14">
        <v>4000</v>
      </c>
      <c r="AH25" s="7" t="s">
        <v>336</v>
      </c>
      <c r="AN25" s="7" t="s">
        <v>343</v>
      </c>
      <c r="AS25" s="7" t="s">
        <v>350</v>
      </c>
      <c r="AU25" s="7" t="s">
        <v>334</v>
      </c>
      <c r="BI25" s="13"/>
      <c r="BL25" s="14"/>
      <c r="BZ25" s="7" t="s">
        <v>334</v>
      </c>
      <c r="CL25" s="14"/>
    </row>
    <row r="26" spans="1:90" x14ac:dyDescent="0.2">
      <c r="A26" s="6" t="s">
        <v>37</v>
      </c>
      <c r="B26" s="7" t="s">
        <v>251</v>
      </c>
      <c r="C26" s="7" t="s">
        <v>334</v>
      </c>
      <c r="F26" s="7" t="s">
        <v>1018</v>
      </c>
      <c r="G26" s="7">
        <v>15</v>
      </c>
      <c r="I26" s="7" t="s">
        <v>334</v>
      </c>
      <c r="J26" s="7" t="s">
        <v>334</v>
      </c>
      <c r="S26" s="7" t="s">
        <v>251</v>
      </c>
      <c r="T26" s="7" t="s">
        <v>334</v>
      </c>
      <c r="W26" s="7">
        <v>5</v>
      </c>
      <c r="X26" s="7" t="s">
        <v>1019</v>
      </c>
      <c r="Z26" s="7" t="s">
        <v>2898</v>
      </c>
      <c r="AB26" s="7">
        <v>15</v>
      </c>
      <c r="AC26" s="7" t="s">
        <v>251</v>
      </c>
      <c r="AD26" s="10">
        <v>1</v>
      </c>
      <c r="AF26" s="7" t="s">
        <v>334</v>
      </c>
      <c r="AG26" s="14"/>
      <c r="AH26" s="7" t="s">
        <v>336</v>
      </c>
      <c r="AN26" s="7" t="s">
        <v>343</v>
      </c>
      <c r="AU26" s="7" t="s">
        <v>251</v>
      </c>
      <c r="AV26" s="7" t="s">
        <v>334</v>
      </c>
      <c r="AY26" s="7">
        <v>15</v>
      </c>
      <c r="AZ26" s="7" t="s">
        <v>1019</v>
      </c>
      <c r="BB26" s="7" t="s">
        <v>2898</v>
      </c>
      <c r="BD26" s="7" t="s">
        <v>1023</v>
      </c>
      <c r="BH26" s="7" t="s">
        <v>251</v>
      </c>
      <c r="BI26" s="13">
        <v>60</v>
      </c>
      <c r="BK26" s="7" t="s">
        <v>251</v>
      </c>
      <c r="BL26" s="14">
        <v>10000</v>
      </c>
      <c r="BM26" s="7" t="s">
        <v>616</v>
      </c>
      <c r="BS26" s="7" t="s">
        <v>343</v>
      </c>
      <c r="BX26" s="7" t="s">
        <v>350</v>
      </c>
      <c r="BZ26" s="7" t="s">
        <v>334</v>
      </c>
      <c r="CL26" s="14"/>
    </row>
    <row r="27" spans="1:90" x14ac:dyDescent="0.2">
      <c r="A27" s="6" t="s">
        <v>13</v>
      </c>
      <c r="B27" s="7" t="s">
        <v>345</v>
      </c>
      <c r="S27" s="7" t="s">
        <v>251</v>
      </c>
      <c r="T27" s="7" t="s">
        <v>334</v>
      </c>
      <c r="W27" s="7">
        <v>8</v>
      </c>
      <c r="X27" s="7" t="s">
        <v>1019</v>
      </c>
      <c r="Z27" s="7" t="s">
        <v>753</v>
      </c>
      <c r="AB27" s="7">
        <v>17</v>
      </c>
      <c r="AC27" s="7" t="s">
        <v>251</v>
      </c>
      <c r="AD27" s="10">
        <v>0.6</v>
      </c>
      <c r="AF27" s="7" t="s">
        <v>251</v>
      </c>
      <c r="AG27" s="14">
        <v>1500</v>
      </c>
      <c r="AH27" s="7" t="s">
        <v>336</v>
      </c>
      <c r="AN27" s="7" t="s">
        <v>337</v>
      </c>
      <c r="AP27" s="7" t="s">
        <v>556</v>
      </c>
      <c r="AS27" s="7" t="s">
        <v>130</v>
      </c>
      <c r="AT27" s="7" t="s">
        <v>348</v>
      </c>
      <c r="AU27" s="7" t="s">
        <v>251</v>
      </c>
      <c r="AV27" s="7" t="s">
        <v>334</v>
      </c>
      <c r="AY27" s="7">
        <v>17</v>
      </c>
      <c r="AZ27" s="7" t="s">
        <v>1019</v>
      </c>
      <c r="BB27" s="7" t="s">
        <v>753</v>
      </c>
      <c r="BD27" s="7" t="s">
        <v>130</v>
      </c>
      <c r="BE27" s="7" t="s">
        <v>1024</v>
      </c>
      <c r="BH27" s="7" t="s">
        <v>251</v>
      </c>
      <c r="BI27" s="13">
        <v>60</v>
      </c>
      <c r="BK27" s="7" t="s">
        <v>251</v>
      </c>
      <c r="BL27" s="14">
        <v>10000</v>
      </c>
      <c r="BM27" s="7" t="s">
        <v>336</v>
      </c>
      <c r="BS27" s="7" t="s">
        <v>337</v>
      </c>
      <c r="BU27" s="7" t="s">
        <v>556</v>
      </c>
      <c r="BX27" s="7" t="s">
        <v>130</v>
      </c>
      <c r="BY27" s="7" t="s">
        <v>348</v>
      </c>
      <c r="BZ27" s="7" t="s">
        <v>334</v>
      </c>
      <c r="CL27" s="14"/>
    </row>
    <row r="28" spans="1:90" ht="38.25" x14ac:dyDescent="0.2">
      <c r="A28" s="6" t="s">
        <v>35</v>
      </c>
      <c r="B28" s="7" t="s">
        <v>251</v>
      </c>
      <c r="C28" s="7" t="s">
        <v>334</v>
      </c>
      <c r="F28" s="7" t="s">
        <v>1018</v>
      </c>
      <c r="G28" s="7">
        <v>10</v>
      </c>
      <c r="I28" s="7" t="s">
        <v>334</v>
      </c>
      <c r="J28" s="7" t="s">
        <v>251</v>
      </c>
      <c r="K28" s="7" t="s">
        <v>251</v>
      </c>
      <c r="L28" s="7">
        <v>40</v>
      </c>
      <c r="M28" s="7" t="s">
        <v>1038</v>
      </c>
      <c r="O28" s="7" t="s">
        <v>334</v>
      </c>
      <c r="S28" s="7" t="s">
        <v>251</v>
      </c>
      <c r="T28" s="7" t="s">
        <v>334</v>
      </c>
      <c r="W28" s="7">
        <v>10</v>
      </c>
      <c r="X28" s="7" t="s">
        <v>1019</v>
      </c>
      <c r="Z28" s="7" t="s">
        <v>753</v>
      </c>
      <c r="AB28" s="7">
        <v>17</v>
      </c>
      <c r="AC28" s="7" t="s">
        <v>334</v>
      </c>
      <c r="AE28" s="7" t="s">
        <v>1055</v>
      </c>
      <c r="AF28" s="7" t="s">
        <v>334</v>
      </c>
      <c r="AG28" s="14"/>
      <c r="AH28" s="7" t="s">
        <v>336</v>
      </c>
      <c r="AN28" s="7" t="s">
        <v>343</v>
      </c>
      <c r="AU28" s="7" t="s">
        <v>251</v>
      </c>
      <c r="AV28" s="7" t="s">
        <v>358</v>
      </c>
      <c r="AW28" s="7">
        <v>119</v>
      </c>
      <c r="AY28" s="7">
        <v>17</v>
      </c>
      <c r="AZ28" s="7" t="s">
        <v>1019</v>
      </c>
      <c r="BB28" s="7" t="s">
        <v>2913</v>
      </c>
      <c r="BD28" s="7" t="s">
        <v>130</v>
      </c>
      <c r="BE28" s="7" t="s">
        <v>1056</v>
      </c>
      <c r="BH28" s="7" t="s">
        <v>334</v>
      </c>
      <c r="BI28" s="13"/>
      <c r="BJ28" s="7" t="s">
        <v>1057</v>
      </c>
      <c r="BK28" s="7" t="s">
        <v>251</v>
      </c>
      <c r="BL28" s="14">
        <v>10000</v>
      </c>
      <c r="BM28" s="7" t="s">
        <v>336</v>
      </c>
      <c r="BS28" s="7" t="s">
        <v>337</v>
      </c>
      <c r="BU28" s="7" t="s">
        <v>756</v>
      </c>
      <c r="BX28" s="7" t="s">
        <v>344</v>
      </c>
      <c r="BZ28" s="7" t="s">
        <v>334</v>
      </c>
      <c r="CL28" s="14"/>
    </row>
    <row r="29" spans="1:90" ht="25.5" x14ac:dyDescent="0.2">
      <c r="A29" s="6" t="s">
        <v>67</v>
      </c>
      <c r="B29" s="7" t="s">
        <v>334</v>
      </c>
      <c r="S29" s="7" t="s">
        <v>251</v>
      </c>
      <c r="T29" s="7" t="s">
        <v>334</v>
      </c>
      <c r="W29" s="7">
        <v>5</v>
      </c>
      <c r="X29" s="7" t="s">
        <v>1019</v>
      </c>
      <c r="Z29" s="7" t="s">
        <v>2898</v>
      </c>
      <c r="AB29" s="7">
        <v>17</v>
      </c>
      <c r="AC29" s="7" t="s">
        <v>334</v>
      </c>
      <c r="AE29" s="7" t="s">
        <v>1085</v>
      </c>
      <c r="AF29" s="7" t="s">
        <v>251</v>
      </c>
      <c r="AG29" s="14">
        <v>5000</v>
      </c>
      <c r="AH29" s="7" t="s">
        <v>336</v>
      </c>
      <c r="AN29" s="7" t="s">
        <v>343</v>
      </c>
      <c r="AU29" s="7" t="s">
        <v>251</v>
      </c>
      <c r="AV29" s="7" t="s">
        <v>334</v>
      </c>
      <c r="AY29" s="7">
        <v>17</v>
      </c>
      <c r="AZ29" s="7" t="s">
        <v>1019</v>
      </c>
      <c r="BB29" s="7" t="s">
        <v>2898</v>
      </c>
      <c r="BD29" s="7" t="s">
        <v>1023</v>
      </c>
      <c r="BH29" s="7" t="s">
        <v>251</v>
      </c>
      <c r="BI29" s="13">
        <v>67</v>
      </c>
      <c r="BK29" s="7" t="s">
        <v>251</v>
      </c>
      <c r="BL29" s="14">
        <v>25000</v>
      </c>
      <c r="BM29" s="7" t="s">
        <v>616</v>
      </c>
      <c r="BS29" s="7" t="s">
        <v>337</v>
      </c>
      <c r="BU29" s="7" t="s">
        <v>130</v>
      </c>
      <c r="BV29" s="7" t="s">
        <v>1086</v>
      </c>
      <c r="BX29" s="7" t="s">
        <v>130</v>
      </c>
      <c r="BY29" s="7" t="s">
        <v>338</v>
      </c>
      <c r="BZ29" s="7" t="s">
        <v>334</v>
      </c>
      <c r="CL29" s="14"/>
    </row>
    <row r="30" spans="1:90" x14ac:dyDescent="0.2">
      <c r="A30" s="6" t="s">
        <v>49</v>
      </c>
      <c r="B30" s="7" t="s">
        <v>251</v>
      </c>
      <c r="C30" s="7" t="s">
        <v>334</v>
      </c>
      <c r="F30" s="7" t="s">
        <v>1018</v>
      </c>
      <c r="G30" s="7">
        <v>10</v>
      </c>
      <c r="I30" s="7" t="s">
        <v>334</v>
      </c>
      <c r="J30" s="7" t="s">
        <v>334</v>
      </c>
      <c r="S30" s="7" t="s">
        <v>251</v>
      </c>
      <c r="T30" s="7" t="s">
        <v>334</v>
      </c>
      <c r="W30" s="7">
        <v>7</v>
      </c>
      <c r="X30" s="7" t="s">
        <v>1019</v>
      </c>
      <c r="Z30" s="7" t="s">
        <v>2902</v>
      </c>
      <c r="AB30" s="7">
        <v>17</v>
      </c>
      <c r="AC30" s="7" t="s">
        <v>251</v>
      </c>
      <c r="AD30" s="23">
        <v>0.66669999999999996</v>
      </c>
      <c r="AF30" s="7" t="s">
        <v>251</v>
      </c>
      <c r="AG30" s="14">
        <v>3464</v>
      </c>
      <c r="AH30" s="7" t="s">
        <v>336</v>
      </c>
      <c r="AN30" s="7" t="s">
        <v>337</v>
      </c>
      <c r="AP30" s="7" t="s">
        <v>756</v>
      </c>
      <c r="AS30" s="7" t="s">
        <v>130</v>
      </c>
      <c r="AT30" s="7" t="s">
        <v>338</v>
      </c>
      <c r="AU30" s="7" t="s">
        <v>251</v>
      </c>
      <c r="AV30" s="7" t="s">
        <v>334</v>
      </c>
      <c r="AY30" s="7">
        <v>17</v>
      </c>
      <c r="AZ30" s="7" t="s">
        <v>130</v>
      </c>
      <c r="BA30" s="7" t="s">
        <v>1070</v>
      </c>
      <c r="BB30" s="7" t="s">
        <v>2902</v>
      </c>
      <c r="BD30" s="7" t="s">
        <v>1023</v>
      </c>
      <c r="BH30" s="7" t="s">
        <v>251</v>
      </c>
      <c r="BI30" s="13">
        <v>66.67</v>
      </c>
      <c r="BK30" s="7" t="s">
        <v>251</v>
      </c>
      <c r="BL30" s="14">
        <v>15000</v>
      </c>
      <c r="BM30" s="7" t="s">
        <v>336</v>
      </c>
      <c r="BS30" s="7" t="s">
        <v>337</v>
      </c>
      <c r="BU30" s="7" t="s">
        <v>756</v>
      </c>
      <c r="BX30" s="7" t="s">
        <v>130</v>
      </c>
      <c r="BY30" s="7" t="s">
        <v>338</v>
      </c>
      <c r="BZ30" s="7" t="s">
        <v>334</v>
      </c>
      <c r="CL30" s="14"/>
    </row>
    <row r="31" spans="1:90" x14ac:dyDescent="0.2">
      <c r="A31" s="6" t="s">
        <v>68</v>
      </c>
      <c r="B31" s="7" t="s">
        <v>251</v>
      </c>
      <c r="C31" s="7" t="s">
        <v>334</v>
      </c>
      <c r="F31" s="7" t="s">
        <v>1018</v>
      </c>
      <c r="G31" s="7">
        <v>10</v>
      </c>
      <c r="I31" s="7" t="s">
        <v>334</v>
      </c>
      <c r="J31" s="7" t="s">
        <v>334</v>
      </c>
      <c r="S31" s="7" t="s">
        <v>251</v>
      </c>
      <c r="T31" s="7" t="s">
        <v>334</v>
      </c>
      <c r="W31" s="7">
        <v>7</v>
      </c>
      <c r="X31" s="7" t="s">
        <v>1033</v>
      </c>
      <c r="Z31" s="7" t="s">
        <v>753</v>
      </c>
      <c r="AB31" s="7">
        <v>26</v>
      </c>
      <c r="AC31" s="7" t="s">
        <v>334</v>
      </c>
      <c r="AE31" s="7" t="s">
        <v>1087</v>
      </c>
      <c r="AF31" s="7" t="s">
        <v>334</v>
      </c>
      <c r="AG31" s="14"/>
      <c r="AH31" s="7" t="s">
        <v>336</v>
      </c>
      <c r="AN31" s="7" t="s">
        <v>343</v>
      </c>
      <c r="AU31" s="7" t="s">
        <v>251</v>
      </c>
      <c r="AV31" s="7" t="s">
        <v>334</v>
      </c>
      <c r="AY31" s="7">
        <v>26</v>
      </c>
      <c r="AZ31" s="7" t="s">
        <v>1019</v>
      </c>
      <c r="BB31" s="7" t="s">
        <v>753</v>
      </c>
      <c r="BD31" s="7" t="s">
        <v>1023</v>
      </c>
      <c r="BH31" s="7" t="s">
        <v>251</v>
      </c>
      <c r="BI31" s="13">
        <v>66</v>
      </c>
      <c r="BK31" s="7" t="s">
        <v>251</v>
      </c>
      <c r="BL31" s="14">
        <v>10000</v>
      </c>
      <c r="BM31" s="7" t="s">
        <v>336</v>
      </c>
      <c r="BS31" s="7" t="s">
        <v>337</v>
      </c>
      <c r="BU31" s="7" t="s">
        <v>756</v>
      </c>
      <c r="BX31" s="7" t="s">
        <v>350</v>
      </c>
      <c r="BZ31" s="7" t="s">
        <v>334</v>
      </c>
      <c r="CL31" s="14"/>
    </row>
    <row r="32" spans="1:90" ht="38.25" x14ac:dyDescent="0.2">
      <c r="A32" s="6" t="s">
        <v>11</v>
      </c>
      <c r="B32" s="7" t="s">
        <v>251</v>
      </c>
      <c r="C32" s="7" t="s">
        <v>334</v>
      </c>
      <c r="F32" s="7" t="s">
        <v>1018</v>
      </c>
      <c r="G32" s="7">
        <v>5</v>
      </c>
      <c r="I32" s="7" t="s">
        <v>334</v>
      </c>
      <c r="J32" s="7" t="s">
        <v>334</v>
      </c>
      <c r="S32" s="7" t="s">
        <v>251</v>
      </c>
      <c r="T32" s="7" t="s">
        <v>334</v>
      </c>
      <c r="W32" s="7">
        <v>7</v>
      </c>
      <c r="X32" s="7" t="s">
        <v>1019</v>
      </c>
      <c r="Z32" s="7" t="s">
        <v>2898</v>
      </c>
      <c r="AB32" s="7">
        <v>17</v>
      </c>
      <c r="AC32" s="7" t="s">
        <v>334</v>
      </c>
      <c r="AE32" s="7" t="s">
        <v>1020</v>
      </c>
      <c r="AF32" s="7" t="s">
        <v>334</v>
      </c>
      <c r="AG32" s="14"/>
      <c r="AH32" s="7" t="s">
        <v>336</v>
      </c>
      <c r="AN32" s="7" t="s">
        <v>343</v>
      </c>
      <c r="AS32" s="7" t="s">
        <v>130</v>
      </c>
      <c r="AT32" s="7" t="s">
        <v>1021</v>
      </c>
      <c r="AU32" s="7" t="s">
        <v>334</v>
      </c>
      <c r="BI32" s="13"/>
      <c r="BL32" s="14"/>
      <c r="BZ32" s="7" t="s">
        <v>334</v>
      </c>
      <c r="CL32" s="14"/>
    </row>
    <row r="33" spans="1:90" x14ac:dyDescent="0.2">
      <c r="A33" s="6" t="s">
        <v>50</v>
      </c>
      <c r="B33" s="7" t="s">
        <v>334</v>
      </c>
      <c r="S33" s="7" t="s">
        <v>251</v>
      </c>
      <c r="T33" s="7" t="s">
        <v>334</v>
      </c>
      <c r="W33" s="7">
        <v>30</v>
      </c>
      <c r="X33" s="7" t="s">
        <v>1019</v>
      </c>
      <c r="Z33" s="7" t="s">
        <v>753</v>
      </c>
      <c r="AB33" s="7">
        <v>17</v>
      </c>
      <c r="AC33" s="7" t="s">
        <v>251</v>
      </c>
      <c r="AD33" s="10">
        <v>1</v>
      </c>
      <c r="AF33" s="7" t="s">
        <v>334</v>
      </c>
      <c r="AG33" s="14"/>
      <c r="AH33" s="7" t="s">
        <v>336</v>
      </c>
      <c r="AN33" s="7" t="s">
        <v>343</v>
      </c>
      <c r="AS33" s="7" t="s">
        <v>130</v>
      </c>
      <c r="AT33" s="7" t="s">
        <v>1021</v>
      </c>
      <c r="AU33" s="7" t="s">
        <v>334</v>
      </c>
      <c r="BI33" s="13"/>
      <c r="BL33" s="14"/>
      <c r="BZ33" s="7" t="s">
        <v>334</v>
      </c>
      <c r="CL33" s="14"/>
    </row>
    <row r="34" spans="1:90" x14ac:dyDescent="0.2">
      <c r="A34" s="6" t="s">
        <v>71</v>
      </c>
      <c r="B34" s="7" t="s">
        <v>251</v>
      </c>
      <c r="C34" s="7" t="s">
        <v>334</v>
      </c>
      <c r="F34" s="7" t="s">
        <v>1018</v>
      </c>
      <c r="G34" s="7">
        <v>25</v>
      </c>
      <c r="I34" s="7" t="s">
        <v>334</v>
      </c>
      <c r="J34" s="7" t="s">
        <v>251</v>
      </c>
      <c r="K34" s="7" t="s">
        <v>251</v>
      </c>
      <c r="L34" s="7">
        <v>5</v>
      </c>
      <c r="M34" s="7" t="s">
        <v>1038</v>
      </c>
      <c r="O34" s="7" t="s">
        <v>334</v>
      </c>
      <c r="S34" s="7" t="s">
        <v>251</v>
      </c>
      <c r="T34" s="7" t="s">
        <v>334</v>
      </c>
      <c r="W34" s="7">
        <v>0</v>
      </c>
      <c r="X34" s="7" t="s">
        <v>1019</v>
      </c>
      <c r="Z34" s="7" t="s">
        <v>753</v>
      </c>
      <c r="AB34" s="7">
        <v>17</v>
      </c>
      <c r="AC34" s="7" t="s">
        <v>251</v>
      </c>
      <c r="AD34" s="23">
        <v>0.66700000000000004</v>
      </c>
      <c r="AF34" s="7" t="s">
        <v>251</v>
      </c>
      <c r="AG34" s="14">
        <v>3000</v>
      </c>
      <c r="AH34" s="7" t="s">
        <v>616</v>
      </c>
      <c r="AN34" s="7" t="s">
        <v>343</v>
      </c>
      <c r="AS34" s="7" t="s">
        <v>350</v>
      </c>
      <c r="AU34" s="7" t="s">
        <v>251</v>
      </c>
      <c r="AV34" s="7" t="s">
        <v>334</v>
      </c>
      <c r="AY34" s="7">
        <v>17</v>
      </c>
      <c r="AZ34" s="7" t="s">
        <v>1019</v>
      </c>
      <c r="BB34" s="7" t="s">
        <v>753</v>
      </c>
      <c r="BD34" s="7" t="s">
        <v>1023</v>
      </c>
      <c r="BH34" s="7" t="s">
        <v>251</v>
      </c>
      <c r="BI34" s="13">
        <v>50</v>
      </c>
      <c r="BK34" s="7" t="s">
        <v>251</v>
      </c>
      <c r="BL34" s="14">
        <v>8000</v>
      </c>
      <c r="BM34" s="7" t="s">
        <v>616</v>
      </c>
      <c r="BS34" s="7" t="s">
        <v>343</v>
      </c>
      <c r="BX34" s="7" t="s">
        <v>350</v>
      </c>
      <c r="BZ34" s="7" t="s">
        <v>334</v>
      </c>
      <c r="CL34" s="14"/>
    </row>
    <row r="35" spans="1:90" ht="38.25" x14ac:dyDescent="0.2">
      <c r="A35" s="6" t="s">
        <v>65</v>
      </c>
      <c r="B35" s="7" t="s">
        <v>334</v>
      </c>
      <c r="S35" s="7" t="s">
        <v>251</v>
      </c>
      <c r="T35" s="7" t="s">
        <v>334</v>
      </c>
      <c r="W35" s="7">
        <v>7</v>
      </c>
      <c r="X35" s="7" t="s">
        <v>1019</v>
      </c>
      <c r="Z35" s="7" t="s">
        <v>2896</v>
      </c>
      <c r="AB35" s="7">
        <v>17</v>
      </c>
      <c r="AC35" s="7" t="s">
        <v>251</v>
      </c>
      <c r="AD35" s="23">
        <v>0.66669999999999996</v>
      </c>
      <c r="AF35" s="7" t="s">
        <v>251</v>
      </c>
      <c r="AG35" s="14">
        <v>1300</v>
      </c>
      <c r="AH35" s="7" t="s">
        <v>336</v>
      </c>
      <c r="AN35" s="7" t="s">
        <v>337</v>
      </c>
      <c r="AP35" s="7" t="s">
        <v>130</v>
      </c>
      <c r="AQ35" s="7" t="s">
        <v>1082</v>
      </c>
      <c r="AS35" s="7" t="s">
        <v>350</v>
      </c>
      <c r="AU35" s="7" t="s">
        <v>251</v>
      </c>
      <c r="AV35" s="7" t="s">
        <v>334</v>
      </c>
      <c r="AY35" s="7">
        <v>17</v>
      </c>
      <c r="AZ35" s="7" t="s">
        <v>130</v>
      </c>
      <c r="BA35" s="7" t="s">
        <v>1083</v>
      </c>
      <c r="BB35" s="7" t="s">
        <v>2896</v>
      </c>
      <c r="BD35" s="7" t="s">
        <v>1023</v>
      </c>
      <c r="BH35" s="7" t="s">
        <v>251</v>
      </c>
      <c r="BI35" s="13">
        <v>66.67</v>
      </c>
      <c r="BK35" s="7" t="s">
        <v>251</v>
      </c>
      <c r="BL35" s="14">
        <v>1300</v>
      </c>
      <c r="BM35" s="7" t="s">
        <v>336</v>
      </c>
      <c r="BS35" s="7" t="s">
        <v>337</v>
      </c>
      <c r="BU35" s="7" t="s">
        <v>130</v>
      </c>
      <c r="BV35" s="7" t="s">
        <v>1084</v>
      </c>
      <c r="BX35" s="7" t="s">
        <v>350</v>
      </c>
      <c r="BZ35" s="7" t="s">
        <v>334</v>
      </c>
      <c r="CL35" s="14"/>
    </row>
    <row r="36" spans="1:90" x14ac:dyDescent="0.2">
      <c r="A36" s="6" t="s">
        <v>59</v>
      </c>
      <c r="B36" s="7" t="s">
        <v>251</v>
      </c>
      <c r="C36" s="7" t="s">
        <v>334</v>
      </c>
      <c r="F36" s="7" t="s">
        <v>1018</v>
      </c>
      <c r="G36" s="7" t="s">
        <v>1077</v>
      </c>
      <c r="I36" s="7" t="s">
        <v>334</v>
      </c>
      <c r="J36" s="7" t="s">
        <v>334</v>
      </c>
      <c r="S36" s="7" t="s">
        <v>251</v>
      </c>
      <c r="T36" s="7" t="s">
        <v>334</v>
      </c>
      <c r="W36" s="7">
        <v>7</v>
      </c>
      <c r="X36" s="7" t="s">
        <v>1019</v>
      </c>
      <c r="Z36" s="7" t="s">
        <v>753</v>
      </c>
      <c r="AB36" s="7">
        <v>17</v>
      </c>
      <c r="AC36" s="7" t="s">
        <v>251</v>
      </c>
      <c r="AD36" s="10">
        <v>0.75</v>
      </c>
      <c r="AF36" s="7" t="s">
        <v>251</v>
      </c>
      <c r="AG36" s="14">
        <v>2500</v>
      </c>
      <c r="AH36" s="7" t="s">
        <v>336</v>
      </c>
      <c r="AN36" s="7" t="s">
        <v>337</v>
      </c>
      <c r="AP36" s="7" t="s">
        <v>556</v>
      </c>
      <c r="AS36" s="7" t="s">
        <v>344</v>
      </c>
      <c r="AU36" s="7" t="s">
        <v>251</v>
      </c>
      <c r="AV36" s="7" t="s">
        <v>334</v>
      </c>
      <c r="AY36" s="7">
        <v>17</v>
      </c>
      <c r="AZ36" s="7" t="s">
        <v>1019</v>
      </c>
      <c r="BB36" s="7" t="s">
        <v>753</v>
      </c>
      <c r="BD36" s="7" t="s">
        <v>1023</v>
      </c>
      <c r="BH36" s="7" t="s">
        <v>251</v>
      </c>
      <c r="BI36" s="13">
        <v>70</v>
      </c>
      <c r="BK36" s="7" t="s">
        <v>251</v>
      </c>
      <c r="BL36" s="14">
        <v>10000</v>
      </c>
      <c r="BM36" s="7" t="s">
        <v>336</v>
      </c>
      <c r="BS36" s="7" t="s">
        <v>337</v>
      </c>
      <c r="BU36" s="7" t="s">
        <v>556</v>
      </c>
      <c r="BX36" s="7" t="s">
        <v>344</v>
      </c>
      <c r="BZ36" s="7" t="s">
        <v>334</v>
      </c>
      <c r="CL36" s="14"/>
    </row>
    <row r="37" spans="1:90" x14ac:dyDescent="0.2">
      <c r="A37" s="6" t="s">
        <v>36</v>
      </c>
      <c r="B37" s="7" t="s">
        <v>334</v>
      </c>
      <c r="S37" s="7" t="s">
        <v>251</v>
      </c>
      <c r="T37" s="7" t="s">
        <v>334</v>
      </c>
      <c r="W37" s="7">
        <v>0</v>
      </c>
      <c r="X37" s="7" t="s">
        <v>1019</v>
      </c>
      <c r="Z37" s="7" t="s">
        <v>753</v>
      </c>
      <c r="AB37" s="7">
        <v>17</v>
      </c>
      <c r="AC37" s="7" t="s">
        <v>251</v>
      </c>
      <c r="AD37" s="10">
        <v>0.75</v>
      </c>
      <c r="AF37" s="7" t="s">
        <v>251</v>
      </c>
      <c r="AG37" s="14">
        <v>3000</v>
      </c>
      <c r="AH37" s="7" t="s">
        <v>336</v>
      </c>
      <c r="AN37" s="7" t="s">
        <v>337</v>
      </c>
      <c r="AP37" s="7" t="s">
        <v>756</v>
      </c>
      <c r="AS37" s="7" t="s">
        <v>130</v>
      </c>
      <c r="AT37" s="7" t="s">
        <v>338</v>
      </c>
      <c r="AU37" s="7" t="s">
        <v>251</v>
      </c>
      <c r="AV37" s="7" t="s">
        <v>334</v>
      </c>
      <c r="AY37" s="7">
        <v>17</v>
      </c>
      <c r="AZ37" s="7" t="s">
        <v>1019</v>
      </c>
      <c r="BB37" s="7" t="s">
        <v>2898</v>
      </c>
      <c r="BD37" s="7" t="s">
        <v>1023</v>
      </c>
      <c r="BH37" s="7" t="s">
        <v>251</v>
      </c>
      <c r="BI37" s="13">
        <v>68.5</v>
      </c>
      <c r="BK37" s="7" t="s">
        <v>251</v>
      </c>
      <c r="BL37" s="14">
        <v>9000</v>
      </c>
      <c r="BM37" s="7" t="s">
        <v>616</v>
      </c>
      <c r="BS37" s="7" t="s">
        <v>337</v>
      </c>
      <c r="BU37" s="7" t="s">
        <v>756</v>
      </c>
      <c r="BX37" s="7" t="s">
        <v>130</v>
      </c>
      <c r="BY37" s="7" t="s">
        <v>338</v>
      </c>
      <c r="BZ37" s="7" t="s">
        <v>334</v>
      </c>
      <c r="CL37" s="14"/>
    </row>
    <row r="38" spans="1:90" x14ac:dyDescent="0.2">
      <c r="A38" s="6" t="s">
        <v>28</v>
      </c>
      <c r="B38" s="7" t="s">
        <v>251</v>
      </c>
      <c r="C38" s="7" t="s">
        <v>334</v>
      </c>
      <c r="F38" s="7" t="s">
        <v>1018</v>
      </c>
      <c r="G38" s="7">
        <v>5</v>
      </c>
      <c r="I38" s="7" t="s">
        <v>334</v>
      </c>
      <c r="J38" s="7" t="s">
        <v>334</v>
      </c>
      <c r="S38" s="7" t="s">
        <v>251</v>
      </c>
      <c r="T38" s="7" t="s">
        <v>334</v>
      </c>
      <c r="W38" s="7">
        <v>7</v>
      </c>
      <c r="X38" s="7" t="s">
        <v>1019</v>
      </c>
      <c r="Z38" s="7" t="s">
        <v>753</v>
      </c>
      <c r="AB38" s="7">
        <v>17</v>
      </c>
      <c r="AC38" s="7" t="s">
        <v>251</v>
      </c>
      <c r="AD38" s="10">
        <v>0.75</v>
      </c>
      <c r="AF38" s="7" t="s">
        <v>251</v>
      </c>
      <c r="AG38" s="15">
        <v>692.31</v>
      </c>
      <c r="AH38" s="7" t="s">
        <v>336</v>
      </c>
      <c r="AN38" s="7" t="s">
        <v>337</v>
      </c>
      <c r="AS38" s="7" t="s">
        <v>130</v>
      </c>
      <c r="AT38" s="7" t="s">
        <v>1045</v>
      </c>
      <c r="AU38" s="7" t="s">
        <v>251</v>
      </c>
      <c r="BI38" s="13"/>
      <c r="BL38" s="14"/>
      <c r="BZ38" s="7" t="s">
        <v>334</v>
      </c>
      <c r="CL38" s="14"/>
    </row>
    <row r="39" spans="1:90" x14ac:dyDescent="0.2">
      <c r="A39" s="6" t="s">
        <v>52</v>
      </c>
      <c r="B39" s="7" t="s">
        <v>334</v>
      </c>
      <c r="S39" s="7" t="s">
        <v>334</v>
      </c>
      <c r="AG39" s="14"/>
      <c r="AU39" s="7" t="s">
        <v>334</v>
      </c>
      <c r="BI39" s="13"/>
      <c r="BL39" s="14"/>
      <c r="BZ39" s="7" t="s">
        <v>334</v>
      </c>
      <c r="CL39" s="14"/>
    </row>
    <row r="40" spans="1:90" ht="25.5" x14ac:dyDescent="0.2">
      <c r="A40" s="6" t="s">
        <v>19</v>
      </c>
      <c r="B40" s="7" t="s">
        <v>251</v>
      </c>
      <c r="C40" s="7" t="s">
        <v>334</v>
      </c>
      <c r="F40" s="7" t="s">
        <v>1018</v>
      </c>
      <c r="G40" s="7">
        <v>10</v>
      </c>
      <c r="I40" s="7" t="s">
        <v>334</v>
      </c>
      <c r="J40" s="7" t="s">
        <v>334</v>
      </c>
      <c r="S40" s="7" t="s">
        <v>251</v>
      </c>
      <c r="T40" s="7" t="s">
        <v>334</v>
      </c>
      <c r="X40" s="7" t="s">
        <v>1019</v>
      </c>
      <c r="AB40" s="7">
        <v>17</v>
      </c>
      <c r="AC40" s="7" t="s">
        <v>251</v>
      </c>
      <c r="AD40" s="10">
        <v>0.7</v>
      </c>
      <c r="AF40" s="7" t="s">
        <v>251</v>
      </c>
      <c r="AG40" s="14">
        <v>1000</v>
      </c>
      <c r="AH40" s="7" t="s">
        <v>336</v>
      </c>
      <c r="AN40" s="7" t="s">
        <v>337</v>
      </c>
      <c r="AP40" s="7" t="s">
        <v>756</v>
      </c>
      <c r="AS40" s="7" t="s">
        <v>130</v>
      </c>
      <c r="AT40" s="7" t="s">
        <v>1040</v>
      </c>
      <c r="AU40" s="7" t="s">
        <v>251</v>
      </c>
      <c r="AV40" s="7" t="s">
        <v>358</v>
      </c>
      <c r="AW40" s="7">
        <v>120</v>
      </c>
      <c r="AZ40" s="7" t="s">
        <v>1019</v>
      </c>
      <c r="BD40" s="7" t="s">
        <v>1023</v>
      </c>
      <c r="BH40" s="7" t="s">
        <v>251</v>
      </c>
      <c r="BI40" s="13">
        <v>70</v>
      </c>
      <c r="BK40" s="7" t="s">
        <v>251</v>
      </c>
      <c r="BL40" s="14">
        <v>15000</v>
      </c>
      <c r="BM40" s="7" t="s">
        <v>336</v>
      </c>
      <c r="BS40" s="7" t="s">
        <v>337</v>
      </c>
      <c r="BU40" s="7" t="s">
        <v>756</v>
      </c>
      <c r="BX40" s="7" t="s">
        <v>130</v>
      </c>
      <c r="BY40" s="7" t="s">
        <v>1040</v>
      </c>
      <c r="BZ40" s="7" t="s">
        <v>334</v>
      </c>
      <c r="CL40" s="14"/>
    </row>
    <row r="41" spans="1:90" ht="38.25" x14ac:dyDescent="0.2">
      <c r="A41" s="6" t="s">
        <v>51</v>
      </c>
      <c r="B41" s="7" t="s">
        <v>251</v>
      </c>
      <c r="C41" s="7" t="s">
        <v>334</v>
      </c>
      <c r="F41" s="7" t="s">
        <v>1018</v>
      </c>
      <c r="G41" s="7" t="s">
        <v>1071</v>
      </c>
      <c r="I41" s="7" t="s">
        <v>251</v>
      </c>
      <c r="J41" s="7" t="s">
        <v>334</v>
      </c>
      <c r="S41" s="7" t="s">
        <v>251</v>
      </c>
      <c r="T41" s="7" t="s">
        <v>334</v>
      </c>
      <c r="W41" s="7">
        <v>7</v>
      </c>
      <c r="X41" s="7" t="s">
        <v>1019</v>
      </c>
      <c r="Z41" s="7" t="s">
        <v>753</v>
      </c>
      <c r="AB41" s="7">
        <v>26</v>
      </c>
      <c r="AC41" s="7" t="s">
        <v>334</v>
      </c>
      <c r="AE41" s="7" t="s">
        <v>1072</v>
      </c>
      <c r="AF41" s="7" t="s">
        <v>251</v>
      </c>
      <c r="AG41" s="14">
        <v>1700</v>
      </c>
      <c r="AH41" s="7" t="s">
        <v>336</v>
      </c>
      <c r="AN41" s="7" t="s">
        <v>337</v>
      </c>
      <c r="AP41" s="7" t="s">
        <v>556</v>
      </c>
      <c r="AS41" s="7" t="s">
        <v>344</v>
      </c>
      <c r="AU41" s="7" t="s">
        <v>251</v>
      </c>
      <c r="AV41" s="7" t="s">
        <v>334</v>
      </c>
      <c r="AY41" s="7">
        <v>26</v>
      </c>
      <c r="AZ41" s="7" t="s">
        <v>1019</v>
      </c>
      <c r="BB41" s="7" t="s">
        <v>130</v>
      </c>
      <c r="BC41" s="7" t="s">
        <v>1073</v>
      </c>
      <c r="BD41" s="7" t="s">
        <v>1028</v>
      </c>
      <c r="BG41" s="7">
        <v>65</v>
      </c>
      <c r="BH41" s="7" t="s">
        <v>251</v>
      </c>
      <c r="BI41" s="13">
        <v>66.7</v>
      </c>
      <c r="BK41" s="7" t="s">
        <v>251</v>
      </c>
      <c r="BL41" s="14">
        <v>11000</v>
      </c>
      <c r="BM41" s="7" t="s">
        <v>616</v>
      </c>
      <c r="BS41" s="7" t="s">
        <v>337</v>
      </c>
      <c r="BU41" s="7" t="s">
        <v>556</v>
      </c>
      <c r="BX41" s="7" t="s">
        <v>344</v>
      </c>
      <c r="BZ41" s="7" t="s">
        <v>334</v>
      </c>
      <c r="CL41" s="14"/>
    </row>
    <row r="42" spans="1:90" ht="25.5" x14ac:dyDescent="0.2">
      <c r="A42" s="6" t="s">
        <v>47</v>
      </c>
      <c r="B42" s="7" t="s">
        <v>334</v>
      </c>
      <c r="S42" s="7" t="s">
        <v>251</v>
      </c>
      <c r="T42" s="7" t="s">
        <v>334</v>
      </c>
      <c r="W42" s="7">
        <v>7</v>
      </c>
      <c r="X42" s="7" t="s">
        <v>1019</v>
      </c>
      <c r="Z42" s="7" t="s">
        <v>2898</v>
      </c>
      <c r="AB42" s="7">
        <v>17</v>
      </c>
      <c r="AC42" s="7" t="s">
        <v>334</v>
      </c>
      <c r="AE42" s="7" t="s">
        <v>1065</v>
      </c>
      <c r="AF42" s="7" t="s">
        <v>251</v>
      </c>
      <c r="AG42" s="14">
        <v>5000</v>
      </c>
      <c r="AH42" s="7" t="s">
        <v>336</v>
      </c>
      <c r="AN42" s="7" t="s">
        <v>343</v>
      </c>
      <c r="AU42" s="7" t="s">
        <v>251</v>
      </c>
      <c r="AV42" s="7" t="s">
        <v>334</v>
      </c>
      <c r="AY42" s="7">
        <v>17</v>
      </c>
      <c r="AZ42" s="7" t="s">
        <v>1019</v>
      </c>
      <c r="BB42" s="7" t="s">
        <v>2898</v>
      </c>
      <c r="BD42" s="7" t="s">
        <v>1023</v>
      </c>
      <c r="BH42" s="7" t="s">
        <v>334</v>
      </c>
      <c r="BI42" s="13"/>
      <c r="BJ42" s="7" t="s">
        <v>1066</v>
      </c>
      <c r="BK42" s="7" t="s">
        <v>251</v>
      </c>
      <c r="BL42" s="14">
        <v>25000</v>
      </c>
      <c r="BM42" s="7" t="s">
        <v>336</v>
      </c>
      <c r="BS42" s="7" t="s">
        <v>337</v>
      </c>
      <c r="BU42" s="7" t="s">
        <v>756</v>
      </c>
      <c r="BX42" s="7" t="s">
        <v>130</v>
      </c>
      <c r="BY42" s="7" t="s">
        <v>338</v>
      </c>
      <c r="BZ42" s="7" t="s">
        <v>334</v>
      </c>
      <c r="CL42" s="14"/>
    </row>
    <row r="43" spans="1:90" ht="25.5" x14ac:dyDescent="0.2">
      <c r="A43" s="6" t="s">
        <v>56</v>
      </c>
      <c r="B43" s="7" t="s">
        <v>251</v>
      </c>
      <c r="C43" s="7" t="s">
        <v>334</v>
      </c>
      <c r="F43" s="7" t="s">
        <v>1018</v>
      </c>
      <c r="G43" s="7">
        <v>10</v>
      </c>
      <c r="I43" s="7" t="s">
        <v>334</v>
      </c>
      <c r="J43" s="7" t="s">
        <v>334</v>
      </c>
      <c r="S43" s="7" t="s">
        <v>251</v>
      </c>
      <c r="T43" s="7" t="s">
        <v>334</v>
      </c>
      <c r="W43" s="7">
        <v>7</v>
      </c>
      <c r="X43" s="7" t="s">
        <v>1019</v>
      </c>
      <c r="Z43" s="7" t="s">
        <v>2896</v>
      </c>
      <c r="AB43" s="7">
        <v>17</v>
      </c>
      <c r="AC43" s="7" t="s">
        <v>251</v>
      </c>
      <c r="AD43" s="10">
        <v>0.75</v>
      </c>
      <c r="AF43" s="7" t="s">
        <v>251</v>
      </c>
      <c r="AG43" s="14">
        <v>3500</v>
      </c>
      <c r="AH43" s="7" t="s">
        <v>336</v>
      </c>
      <c r="AN43" s="7" t="s">
        <v>337</v>
      </c>
      <c r="AP43" s="7" t="s">
        <v>556</v>
      </c>
      <c r="AS43" s="7" t="s">
        <v>344</v>
      </c>
      <c r="AU43" s="7" t="s">
        <v>251</v>
      </c>
      <c r="AV43" s="7" t="s">
        <v>334</v>
      </c>
      <c r="AY43" s="7">
        <v>17</v>
      </c>
      <c r="AZ43" s="7" t="s">
        <v>1019</v>
      </c>
      <c r="BB43" s="7" t="s">
        <v>2896</v>
      </c>
      <c r="BD43" s="7" t="s">
        <v>130</v>
      </c>
      <c r="BE43" s="7" t="s">
        <v>1076</v>
      </c>
      <c r="BH43" s="7" t="s">
        <v>251</v>
      </c>
      <c r="BI43" s="13">
        <v>75</v>
      </c>
      <c r="BK43" s="7" t="s">
        <v>251</v>
      </c>
      <c r="BL43" s="14">
        <v>13000</v>
      </c>
      <c r="BM43" s="7" t="s">
        <v>336</v>
      </c>
      <c r="BS43" s="7" t="s">
        <v>337</v>
      </c>
      <c r="BU43" s="7" t="s">
        <v>556</v>
      </c>
      <c r="BX43" s="7" t="s">
        <v>344</v>
      </c>
      <c r="BZ43" s="7" t="s">
        <v>334</v>
      </c>
      <c r="CL43" s="14"/>
    </row>
    <row r="44" spans="1:90" x14ac:dyDescent="0.2">
      <c r="A44" s="6" t="s">
        <v>62</v>
      </c>
      <c r="B44" s="7" t="s">
        <v>251</v>
      </c>
      <c r="C44" s="7" t="s">
        <v>334</v>
      </c>
      <c r="F44" s="7" t="s">
        <v>1018</v>
      </c>
      <c r="G44" s="7">
        <v>10</v>
      </c>
      <c r="I44" s="7" t="s">
        <v>334</v>
      </c>
      <c r="J44" s="7" t="s">
        <v>334</v>
      </c>
      <c r="S44" s="7" t="s">
        <v>251</v>
      </c>
      <c r="T44" s="7" t="s">
        <v>334</v>
      </c>
      <c r="W44" s="7">
        <v>8</v>
      </c>
      <c r="X44" s="7" t="s">
        <v>1019</v>
      </c>
      <c r="Z44" s="7" t="s">
        <v>2898</v>
      </c>
      <c r="AB44" s="7">
        <v>17</v>
      </c>
      <c r="AC44" s="7" t="s">
        <v>251</v>
      </c>
      <c r="AD44" s="10">
        <v>0.75</v>
      </c>
      <c r="AF44" s="7" t="s">
        <v>251</v>
      </c>
      <c r="AG44" s="14">
        <v>2000</v>
      </c>
      <c r="AH44" s="7" t="s">
        <v>336</v>
      </c>
      <c r="AN44" s="7" t="s">
        <v>343</v>
      </c>
      <c r="AU44" s="7" t="s">
        <v>251</v>
      </c>
      <c r="AV44" s="7" t="s">
        <v>334</v>
      </c>
      <c r="AY44" s="7">
        <v>17</v>
      </c>
      <c r="AZ44" s="7" t="s">
        <v>1033</v>
      </c>
      <c r="BB44" s="7" t="s">
        <v>2898</v>
      </c>
      <c r="BD44" s="7" t="s">
        <v>1023</v>
      </c>
      <c r="BH44" s="7" t="s">
        <v>251</v>
      </c>
      <c r="BI44" s="13">
        <v>66.67</v>
      </c>
      <c r="BK44" s="7" t="s">
        <v>251</v>
      </c>
      <c r="BL44" s="14">
        <v>10000</v>
      </c>
      <c r="BM44" s="7" t="s">
        <v>336</v>
      </c>
      <c r="BS44" s="7" t="s">
        <v>337</v>
      </c>
      <c r="BU44" s="7" t="s">
        <v>756</v>
      </c>
      <c r="BX44" s="7" t="s">
        <v>350</v>
      </c>
      <c r="BZ44" s="7" t="s">
        <v>334</v>
      </c>
      <c r="CL44" s="14"/>
    </row>
    <row r="45" spans="1:90" ht="25.5" x14ac:dyDescent="0.2">
      <c r="A45" s="6" t="s">
        <v>21</v>
      </c>
      <c r="B45" s="7" t="s">
        <v>251</v>
      </c>
      <c r="C45" s="7" t="s">
        <v>334</v>
      </c>
      <c r="F45" s="7" t="s">
        <v>1018</v>
      </c>
      <c r="G45" s="7">
        <v>14</v>
      </c>
      <c r="I45" s="7" t="s">
        <v>334</v>
      </c>
      <c r="J45" s="7" t="s">
        <v>334</v>
      </c>
      <c r="S45" s="7" t="s">
        <v>251</v>
      </c>
      <c r="T45" s="7" t="s">
        <v>334</v>
      </c>
      <c r="W45" s="7">
        <v>14</v>
      </c>
      <c r="X45" s="7" t="s">
        <v>1033</v>
      </c>
      <c r="Z45" s="7" t="s">
        <v>753</v>
      </c>
      <c r="AB45" s="7">
        <v>17</v>
      </c>
      <c r="AC45" s="7" t="s">
        <v>251</v>
      </c>
      <c r="AD45" s="23">
        <v>0.66669999999999996</v>
      </c>
      <c r="AF45" s="7" t="s">
        <v>251</v>
      </c>
      <c r="AG45" s="14">
        <v>3464</v>
      </c>
      <c r="AH45" s="7" t="s">
        <v>336</v>
      </c>
      <c r="AN45" s="7" t="s">
        <v>337</v>
      </c>
      <c r="AP45" s="7" t="s">
        <v>556</v>
      </c>
      <c r="AS45" s="7" t="s">
        <v>130</v>
      </c>
      <c r="AT45" s="7" t="s">
        <v>338</v>
      </c>
      <c r="AU45" s="7" t="s">
        <v>251</v>
      </c>
      <c r="AV45" s="7" t="s">
        <v>358</v>
      </c>
      <c r="AW45" s="7">
        <v>119</v>
      </c>
      <c r="AY45" s="7">
        <v>17</v>
      </c>
      <c r="AZ45" s="7" t="s">
        <v>1033</v>
      </c>
      <c r="BB45" s="7" t="s">
        <v>753</v>
      </c>
      <c r="BD45" s="7" t="s">
        <v>1023</v>
      </c>
      <c r="BH45" s="7" t="s">
        <v>251</v>
      </c>
      <c r="BI45" s="13">
        <v>66.67</v>
      </c>
      <c r="BK45" s="7" t="s">
        <v>251</v>
      </c>
      <c r="BL45" s="14">
        <v>15000</v>
      </c>
      <c r="BM45" s="7" t="s">
        <v>336</v>
      </c>
      <c r="BS45" s="7" t="s">
        <v>337</v>
      </c>
      <c r="BU45" s="7" t="s">
        <v>556</v>
      </c>
      <c r="BX45" s="7" t="s">
        <v>130</v>
      </c>
      <c r="BY45" s="7" t="s">
        <v>338</v>
      </c>
      <c r="BZ45" s="7" t="s">
        <v>334</v>
      </c>
      <c r="CL45" s="14"/>
    </row>
    <row r="46" spans="1:90" x14ac:dyDescent="0.2">
      <c r="A46" s="6" t="s">
        <v>12</v>
      </c>
      <c r="B46" s="7" t="s">
        <v>251</v>
      </c>
      <c r="C46" s="7" t="s">
        <v>334</v>
      </c>
      <c r="F46" s="7" t="s">
        <v>1018</v>
      </c>
      <c r="G46" s="7" t="s">
        <v>1022</v>
      </c>
      <c r="I46" s="7" t="s">
        <v>334</v>
      </c>
      <c r="J46" s="7" t="s">
        <v>334</v>
      </c>
      <c r="S46" s="7" t="s">
        <v>251</v>
      </c>
      <c r="T46" s="7" t="s">
        <v>334</v>
      </c>
      <c r="W46" s="7">
        <v>5</v>
      </c>
      <c r="X46" s="7" t="s">
        <v>1019</v>
      </c>
      <c r="Z46" s="7" t="s">
        <v>2909</v>
      </c>
      <c r="AA46" s="7" t="s">
        <v>748</v>
      </c>
      <c r="AB46" s="7">
        <v>15</v>
      </c>
      <c r="AC46" s="7" t="s">
        <v>251</v>
      </c>
      <c r="AD46" s="10">
        <v>1</v>
      </c>
      <c r="AF46" s="7" t="s">
        <v>334</v>
      </c>
      <c r="AG46" s="14"/>
      <c r="AH46" s="7" t="s">
        <v>336</v>
      </c>
      <c r="AN46" s="7" t="s">
        <v>343</v>
      </c>
      <c r="AU46" s="7" t="s">
        <v>251</v>
      </c>
      <c r="AV46" s="7" t="s">
        <v>334</v>
      </c>
      <c r="AY46" s="7">
        <v>15</v>
      </c>
      <c r="AZ46" s="7" t="s">
        <v>1019</v>
      </c>
      <c r="BB46" s="7" t="s">
        <v>2909</v>
      </c>
      <c r="BC46" s="7" t="s">
        <v>748</v>
      </c>
      <c r="BD46" s="7" t="s">
        <v>1023</v>
      </c>
      <c r="BH46" s="7" t="s">
        <v>251</v>
      </c>
      <c r="BI46" s="13">
        <v>60</v>
      </c>
      <c r="BK46" s="7" t="s">
        <v>251</v>
      </c>
      <c r="BL46" s="14">
        <v>5000</v>
      </c>
      <c r="BM46" s="7" t="s">
        <v>616</v>
      </c>
      <c r="BS46" s="7" t="s">
        <v>337</v>
      </c>
      <c r="BU46" s="7" t="s">
        <v>556</v>
      </c>
      <c r="BX46" s="7" t="s">
        <v>350</v>
      </c>
      <c r="BZ46" s="7" t="s">
        <v>334</v>
      </c>
      <c r="CL46" s="14"/>
    </row>
    <row r="47" spans="1:90" x14ac:dyDescent="0.2">
      <c r="A47" s="6" t="s">
        <v>64</v>
      </c>
      <c r="B47" s="7" t="s">
        <v>251</v>
      </c>
      <c r="C47" s="7" t="s">
        <v>334</v>
      </c>
      <c r="F47" s="7" t="s">
        <v>1018</v>
      </c>
      <c r="G47" s="7">
        <v>10</v>
      </c>
      <c r="I47" s="7" t="s">
        <v>334</v>
      </c>
      <c r="J47" s="7" t="s">
        <v>334</v>
      </c>
      <c r="S47" s="7" t="s">
        <v>251</v>
      </c>
      <c r="T47" s="7" t="s">
        <v>334</v>
      </c>
      <c r="W47" s="7">
        <v>7</v>
      </c>
      <c r="X47" s="7" t="s">
        <v>1019</v>
      </c>
      <c r="Z47" s="7" t="s">
        <v>753</v>
      </c>
      <c r="AB47" s="7">
        <v>15</v>
      </c>
      <c r="AC47" s="7" t="s">
        <v>251</v>
      </c>
      <c r="AD47" s="10">
        <v>0.75</v>
      </c>
      <c r="AF47" s="7" t="s">
        <v>251</v>
      </c>
      <c r="AG47" s="14">
        <v>3464</v>
      </c>
      <c r="AH47" s="7" t="s">
        <v>336</v>
      </c>
      <c r="AN47" s="7" t="s">
        <v>337</v>
      </c>
      <c r="AP47" s="7" t="s">
        <v>556</v>
      </c>
      <c r="AS47" s="7" t="s">
        <v>130</v>
      </c>
      <c r="AT47" s="7" t="s">
        <v>338</v>
      </c>
      <c r="AU47" s="7" t="s">
        <v>251</v>
      </c>
      <c r="AV47" s="7" t="s">
        <v>334</v>
      </c>
      <c r="AY47" s="7">
        <v>15</v>
      </c>
      <c r="AZ47" s="7" t="s">
        <v>1019</v>
      </c>
      <c r="BB47" s="7" t="s">
        <v>753</v>
      </c>
      <c r="BD47" s="7" t="s">
        <v>1023</v>
      </c>
      <c r="BH47" s="7" t="s">
        <v>251</v>
      </c>
      <c r="BI47" s="13">
        <v>70</v>
      </c>
      <c r="BK47" s="7" t="s">
        <v>251</v>
      </c>
      <c r="BL47" s="14">
        <v>15000</v>
      </c>
      <c r="BM47" s="7" t="s">
        <v>336</v>
      </c>
      <c r="BS47" s="7" t="s">
        <v>337</v>
      </c>
      <c r="BU47" s="7" t="s">
        <v>556</v>
      </c>
      <c r="BX47" s="7" t="s">
        <v>130</v>
      </c>
      <c r="BY47" s="7" t="s">
        <v>124</v>
      </c>
      <c r="BZ47" s="7" t="s">
        <v>334</v>
      </c>
      <c r="CL47" s="14"/>
    </row>
    <row r="48" spans="1:90" ht="63.75" x14ac:dyDescent="0.2">
      <c r="A48" s="6" t="s">
        <v>38</v>
      </c>
      <c r="B48" s="7" t="s">
        <v>334</v>
      </c>
      <c r="S48" s="7" t="s">
        <v>251</v>
      </c>
      <c r="T48" s="7" t="s">
        <v>334</v>
      </c>
      <c r="W48" s="7">
        <v>7</v>
      </c>
      <c r="X48" s="7" t="s">
        <v>1019</v>
      </c>
      <c r="Z48" s="7" t="s">
        <v>753</v>
      </c>
      <c r="AB48" s="7">
        <v>26</v>
      </c>
      <c r="AC48" s="7" t="s">
        <v>334</v>
      </c>
      <c r="AE48" s="7" t="s">
        <v>1058</v>
      </c>
      <c r="AF48" s="7" t="s">
        <v>334</v>
      </c>
      <c r="AG48" s="14"/>
      <c r="AH48" s="7" t="s">
        <v>336</v>
      </c>
      <c r="AN48" s="7" t="s">
        <v>343</v>
      </c>
      <c r="AS48" s="7" t="s">
        <v>130</v>
      </c>
      <c r="AT48" s="7" t="s">
        <v>398</v>
      </c>
      <c r="AU48" s="7" t="s">
        <v>251</v>
      </c>
      <c r="AV48" s="7" t="s">
        <v>334</v>
      </c>
      <c r="AY48" s="7">
        <v>26</v>
      </c>
      <c r="AZ48" s="7" t="s">
        <v>1019</v>
      </c>
      <c r="BB48" s="7" t="s">
        <v>753</v>
      </c>
      <c r="BD48" s="7" t="s">
        <v>1028</v>
      </c>
      <c r="BG48" s="7">
        <v>70</v>
      </c>
      <c r="BH48" s="7" t="s">
        <v>251</v>
      </c>
      <c r="BI48" s="13">
        <v>65</v>
      </c>
      <c r="BK48" s="7" t="s">
        <v>251</v>
      </c>
      <c r="BL48" s="14">
        <v>15500</v>
      </c>
      <c r="BM48" s="7" t="s">
        <v>336</v>
      </c>
      <c r="BS48" s="7" t="s">
        <v>337</v>
      </c>
      <c r="BU48" s="7" t="s">
        <v>556</v>
      </c>
      <c r="BX48" s="7" t="s">
        <v>130</v>
      </c>
      <c r="BY48" s="7" t="s">
        <v>398</v>
      </c>
      <c r="BZ48" s="7" t="s">
        <v>334</v>
      </c>
      <c r="CL48" s="14"/>
    </row>
    <row r="49" spans="1:90" x14ac:dyDescent="0.2">
      <c r="A49" s="6" t="s">
        <v>41</v>
      </c>
      <c r="B49" s="7" t="s">
        <v>251</v>
      </c>
      <c r="C49" s="7" t="s">
        <v>334</v>
      </c>
      <c r="F49" s="7" t="s">
        <v>1018</v>
      </c>
      <c r="G49" s="7">
        <v>10</v>
      </c>
      <c r="I49" s="7" t="s">
        <v>334</v>
      </c>
      <c r="J49" s="7" t="s">
        <v>334</v>
      </c>
      <c r="S49" s="7" t="s">
        <v>251</v>
      </c>
      <c r="T49" s="7" t="s">
        <v>334</v>
      </c>
      <c r="W49" s="7">
        <v>8</v>
      </c>
      <c r="X49" s="7" t="s">
        <v>1019</v>
      </c>
      <c r="Z49" s="7" t="s">
        <v>753</v>
      </c>
      <c r="AB49" s="7">
        <v>17</v>
      </c>
      <c r="AC49" s="7" t="s">
        <v>251</v>
      </c>
      <c r="AD49" s="23">
        <v>0.66669999999999996</v>
      </c>
      <c r="AF49" s="7" t="s">
        <v>251</v>
      </c>
      <c r="AG49" s="14">
        <v>1700</v>
      </c>
      <c r="AH49" s="7" t="s">
        <v>336</v>
      </c>
      <c r="AN49" s="7" t="s">
        <v>337</v>
      </c>
      <c r="AP49" s="7" t="s">
        <v>556</v>
      </c>
      <c r="AS49" s="7" t="s">
        <v>1030</v>
      </c>
      <c r="AU49" s="7" t="s">
        <v>251</v>
      </c>
      <c r="AV49" s="7" t="s">
        <v>334</v>
      </c>
      <c r="AY49" s="7">
        <v>17</v>
      </c>
      <c r="AZ49" s="7" t="s">
        <v>1019</v>
      </c>
      <c r="BB49" s="7" t="s">
        <v>753</v>
      </c>
      <c r="BD49" s="7" t="s">
        <v>1023</v>
      </c>
      <c r="BH49" s="7" t="s">
        <v>251</v>
      </c>
      <c r="BI49" s="13">
        <v>66.7</v>
      </c>
      <c r="BK49" s="7" t="s">
        <v>251</v>
      </c>
      <c r="BL49" s="14">
        <v>7500</v>
      </c>
      <c r="BM49" s="7" t="s">
        <v>336</v>
      </c>
      <c r="BS49" s="7" t="s">
        <v>337</v>
      </c>
      <c r="BU49" s="7" t="s">
        <v>756</v>
      </c>
      <c r="BX49" s="7" t="s">
        <v>1030</v>
      </c>
      <c r="BZ49" s="7" t="s">
        <v>334</v>
      </c>
      <c r="CL49" s="14"/>
    </row>
    <row r="50" spans="1:90" x14ac:dyDescent="0.2">
      <c r="A50" s="6" t="s">
        <v>29</v>
      </c>
      <c r="B50" s="7" t="s">
        <v>251</v>
      </c>
      <c r="C50" s="7" t="s">
        <v>334</v>
      </c>
      <c r="F50" s="7" t="s">
        <v>1018</v>
      </c>
      <c r="G50" s="7">
        <v>10</v>
      </c>
      <c r="I50" s="7" t="s">
        <v>334</v>
      </c>
      <c r="J50" s="7" t="s">
        <v>334</v>
      </c>
      <c r="S50" s="7" t="s">
        <v>251</v>
      </c>
      <c r="T50" s="7" t="s">
        <v>334</v>
      </c>
      <c r="W50" s="7">
        <v>5</v>
      </c>
      <c r="X50" s="7" t="s">
        <v>1019</v>
      </c>
      <c r="Z50" s="7" t="s">
        <v>753</v>
      </c>
      <c r="AB50" s="7">
        <v>16</v>
      </c>
      <c r="AC50" s="7" t="s">
        <v>251</v>
      </c>
      <c r="AD50" s="10">
        <v>0.75</v>
      </c>
      <c r="AF50" s="7" t="s">
        <v>334</v>
      </c>
      <c r="AG50" s="14"/>
      <c r="AH50" s="7" t="s">
        <v>336</v>
      </c>
      <c r="AN50" s="7" t="s">
        <v>343</v>
      </c>
      <c r="AU50" s="7" t="s">
        <v>251</v>
      </c>
      <c r="AV50" s="7" t="s">
        <v>334</v>
      </c>
      <c r="AY50" s="7">
        <v>16</v>
      </c>
      <c r="AZ50" s="7" t="s">
        <v>130</v>
      </c>
      <c r="BA50" s="7" t="s">
        <v>1046</v>
      </c>
      <c r="BB50" s="7" t="s">
        <v>753</v>
      </c>
      <c r="BD50" s="7" t="s">
        <v>1023</v>
      </c>
      <c r="BH50" s="7" t="s">
        <v>251</v>
      </c>
      <c r="BI50" s="13">
        <v>67</v>
      </c>
      <c r="BK50" s="7" t="s">
        <v>251</v>
      </c>
      <c r="BL50" s="14">
        <v>15000</v>
      </c>
      <c r="BM50" s="7" t="s">
        <v>616</v>
      </c>
      <c r="BS50" s="7" t="s">
        <v>337</v>
      </c>
      <c r="BU50" s="7" t="s">
        <v>756</v>
      </c>
      <c r="BX50" s="7" t="s">
        <v>1030</v>
      </c>
      <c r="BZ50" s="7" t="s">
        <v>334</v>
      </c>
      <c r="CL50" s="14"/>
    </row>
    <row r="51" spans="1:90" ht="25.5" x14ac:dyDescent="0.2">
      <c r="A51" s="6" t="s">
        <v>17</v>
      </c>
      <c r="B51" s="7" t="s">
        <v>334</v>
      </c>
      <c r="S51" s="7" t="s">
        <v>251</v>
      </c>
      <c r="T51" s="7" t="s">
        <v>334</v>
      </c>
      <c r="W51" s="7">
        <v>15</v>
      </c>
      <c r="X51" s="7" t="s">
        <v>1019</v>
      </c>
      <c r="Z51" s="7" t="s">
        <v>130</v>
      </c>
      <c r="AA51" s="7" t="s">
        <v>1035</v>
      </c>
      <c r="AB51" s="7">
        <v>26</v>
      </c>
      <c r="AC51" s="7" t="s">
        <v>251</v>
      </c>
      <c r="AD51" s="10">
        <v>1</v>
      </c>
      <c r="AF51" s="7" t="s">
        <v>251</v>
      </c>
      <c r="AG51" s="14">
        <v>7000</v>
      </c>
      <c r="AH51" s="7" t="s">
        <v>336</v>
      </c>
      <c r="AN51" s="7" t="s">
        <v>343</v>
      </c>
      <c r="AU51" s="7" t="s">
        <v>251</v>
      </c>
      <c r="AV51" s="7" t="s">
        <v>334</v>
      </c>
      <c r="AY51" s="7">
        <v>18</v>
      </c>
      <c r="AZ51" s="7" t="s">
        <v>1019</v>
      </c>
      <c r="BB51" s="7" t="s">
        <v>130</v>
      </c>
      <c r="BC51" s="7" t="s">
        <v>1036</v>
      </c>
      <c r="BD51" s="7" t="s">
        <v>1037</v>
      </c>
      <c r="BF51" s="7">
        <v>104</v>
      </c>
      <c r="BH51" s="7" t="s">
        <v>251</v>
      </c>
      <c r="BI51" s="13">
        <v>70</v>
      </c>
      <c r="BK51" s="7" t="s">
        <v>251</v>
      </c>
      <c r="BL51" s="14">
        <v>15000</v>
      </c>
      <c r="BM51" s="7" t="s">
        <v>336</v>
      </c>
      <c r="BS51" s="7" t="s">
        <v>343</v>
      </c>
      <c r="BZ51" s="7" t="s">
        <v>334</v>
      </c>
      <c r="CL51" s="14"/>
    </row>
    <row r="52" spans="1:90" x14ac:dyDescent="0.2">
      <c r="A52" s="6" t="s">
        <v>22</v>
      </c>
      <c r="B52" s="7" t="s">
        <v>251</v>
      </c>
      <c r="C52" s="7" t="s">
        <v>334</v>
      </c>
      <c r="F52" s="7" t="s">
        <v>1018</v>
      </c>
      <c r="G52" s="7" t="s">
        <v>1041</v>
      </c>
      <c r="I52" s="7" t="s">
        <v>334</v>
      </c>
      <c r="J52" s="7" t="s">
        <v>334</v>
      </c>
      <c r="S52" s="7" t="s">
        <v>251</v>
      </c>
      <c r="T52" s="7" t="s">
        <v>334</v>
      </c>
      <c r="W52" s="7">
        <v>0</v>
      </c>
      <c r="X52" s="7" t="s">
        <v>1019</v>
      </c>
      <c r="Z52" s="7" t="s">
        <v>2899</v>
      </c>
      <c r="AB52" s="7">
        <v>17</v>
      </c>
      <c r="AC52" s="7" t="s">
        <v>251</v>
      </c>
      <c r="AD52" s="10">
        <v>0.7</v>
      </c>
      <c r="AF52" s="7" t="s">
        <v>251</v>
      </c>
      <c r="AG52" s="14">
        <v>3400</v>
      </c>
      <c r="AH52" s="7" t="s">
        <v>616</v>
      </c>
      <c r="AN52" s="7" t="s">
        <v>337</v>
      </c>
      <c r="AP52" s="7" t="s">
        <v>556</v>
      </c>
      <c r="AS52" s="7" t="s">
        <v>130</v>
      </c>
      <c r="AT52" s="7" t="s">
        <v>338</v>
      </c>
      <c r="AU52" s="7" t="s">
        <v>251</v>
      </c>
      <c r="AV52" s="7" t="s">
        <v>334</v>
      </c>
      <c r="AY52" s="7">
        <v>17</v>
      </c>
      <c r="AZ52" s="7" t="s">
        <v>1019</v>
      </c>
      <c r="BB52" s="7" t="s">
        <v>2899</v>
      </c>
      <c r="BD52" s="7" t="s">
        <v>1023</v>
      </c>
      <c r="BH52" s="7" t="s">
        <v>251</v>
      </c>
      <c r="BI52" s="13">
        <v>85</v>
      </c>
      <c r="BK52" s="7" t="s">
        <v>251</v>
      </c>
      <c r="BL52" s="14">
        <v>6800</v>
      </c>
      <c r="BM52" s="7" t="s">
        <v>616</v>
      </c>
      <c r="BS52" s="7" t="s">
        <v>337</v>
      </c>
      <c r="BU52" s="7" t="s">
        <v>556</v>
      </c>
      <c r="BX52" s="7" t="s">
        <v>130</v>
      </c>
      <c r="BY52" s="7" t="s">
        <v>338</v>
      </c>
      <c r="BZ52" s="7" t="s">
        <v>334</v>
      </c>
      <c r="CL52" s="14"/>
    </row>
    <row r="53" spans="1:90" x14ac:dyDescent="0.2">
      <c r="A53" s="6" t="s">
        <v>53</v>
      </c>
      <c r="B53" s="7" t="s">
        <v>251</v>
      </c>
      <c r="C53" s="7" t="s">
        <v>334</v>
      </c>
      <c r="F53" s="7" t="s">
        <v>1018</v>
      </c>
      <c r="G53" s="7">
        <v>10</v>
      </c>
      <c r="I53" s="7" t="s">
        <v>334</v>
      </c>
      <c r="J53" s="7" t="s">
        <v>334</v>
      </c>
      <c r="S53" s="7" t="s">
        <v>251</v>
      </c>
      <c r="T53" s="7" t="s">
        <v>334</v>
      </c>
      <c r="W53" s="7">
        <v>10</v>
      </c>
      <c r="X53" s="7" t="s">
        <v>1019</v>
      </c>
      <c r="Z53" s="7" t="s">
        <v>2898</v>
      </c>
      <c r="AB53" s="7">
        <v>17</v>
      </c>
      <c r="AC53" s="7" t="s">
        <v>251</v>
      </c>
      <c r="AD53" s="23">
        <v>0.66669999999999996</v>
      </c>
      <c r="AF53" s="7" t="s">
        <v>251</v>
      </c>
      <c r="AG53" s="14">
        <v>3464</v>
      </c>
      <c r="AH53" s="7" t="s">
        <v>336</v>
      </c>
      <c r="AN53" s="7" t="s">
        <v>337</v>
      </c>
      <c r="AP53" s="7" t="s">
        <v>556</v>
      </c>
      <c r="AS53" s="7" t="s">
        <v>1030</v>
      </c>
      <c r="AU53" s="7" t="s">
        <v>251</v>
      </c>
      <c r="AV53" s="7" t="s">
        <v>334</v>
      </c>
      <c r="AY53" s="7">
        <v>17</v>
      </c>
      <c r="AZ53" s="7" t="s">
        <v>130</v>
      </c>
      <c r="BA53" s="7" t="s">
        <v>1074</v>
      </c>
      <c r="BB53" s="7" t="s">
        <v>2898</v>
      </c>
      <c r="BD53" s="7" t="s">
        <v>1023</v>
      </c>
      <c r="BH53" s="7" t="s">
        <v>251</v>
      </c>
      <c r="BI53" s="13">
        <v>70</v>
      </c>
      <c r="BK53" s="7" t="s">
        <v>251</v>
      </c>
      <c r="BL53" s="14">
        <v>15000</v>
      </c>
      <c r="BM53" s="7" t="s">
        <v>336</v>
      </c>
      <c r="BS53" s="7" t="s">
        <v>337</v>
      </c>
      <c r="BU53" s="7" t="s">
        <v>556</v>
      </c>
      <c r="BX53" s="7" t="s">
        <v>1030</v>
      </c>
      <c r="BZ53" s="7" t="s">
        <v>334</v>
      </c>
      <c r="CL53" s="14"/>
    </row>
    <row r="54" spans="1:90" ht="25.5" x14ac:dyDescent="0.2">
      <c r="A54" s="6" t="s">
        <v>43</v>
      </c>
      <c r="B54" s="7" t="s">
        <v>251</v>
      </c>
      <c r="C54" s="7" t="s">
        <v>334</v>
      </c>
      <c r="F54" s="7" t="s">
        <v>1018</v>
      </c>
      <c r="G54" s="7" t="s">
        <v>1060</v>
      </c>
      <c r="I54" s="7" t="s">
        <v>334</v>
      </c>
      <c r="J54" s="7" t="s">
        <v>334</v>
      </c>
      <c r="S54" s="7" t="s">
        <v>251</v>
      </c>
      <c r="T54" s="7" t="s">
        <v>358</v>
      </c>
      <c r="U54" s="7">
        <v>7</v>
      </c>
      <c r="W54" s="7">
        <v>7</v>
      </c>
      <c r="X54" s="7" t="s">
        <v>1019</v>
      </c>
      <c r="Z54" s="7" t="s">
        <v>2896</v>
      </c>
      <c r="AB54" s="7">
        <v>26</v>
      </c>
      <c r="AC54" s="7" t="s">
        <v>251</v>
      </c>
      <c r="AD54" s="10">
        <v>0.7</v>
      </c>
      <c r="AF54" s="7" t="s">
        <v>251</v>
      </c>
      <c r="AG54" s="14">
        <v>2100</v>
      </c>
      <c r="AH54" s="7" t="s">
        <v>336</v>
      </c>
      <c r="AN54" s="7" t="s">
        <v>337</v>
      </c>
      <c r="AP54" s="7" t="s">
        <v>620</v>
      </c>
      <c r="AR54" s="7" t="s">
        <v>1061</v>
      </c>
      <c r="AS54" s="7" t="s">
        <v>350</v>
      </c>
      <c r="AU54" s="7" t="s">
        <v>251</v>
      </c>
      <c r="AV54" s="7" t="s">
        <v>358</v>
      </c>
      <c r="AW54" s="7">
        <v>182</v>
      </c>
      <c r="AY54" s="7">
        <v>26</v>
      </c>
      <c r="AZ54" s="7" t="s">
        <v>1033</v>
      </c>
      <c r="BB54" s="7" t="s">
        <v>2896</v>
      </c>
      <c r="BD54" s="7" t="s">
        <v>1028</v>
      </c>
      <c r="BG54" s="7">
        <v>65</v>
      </c>
      <c r="BH54" s="7" t="s">
        <v>251</v>
      </c>
      <c r="BI54" s="13">
        <v>66.7</v>
      </c>
      <c r="BK54" s="7" t="s">
        <v>251</v>
      </c>
      <c r="BL54" s="14">
        <v>10000</v>
      </c>
      <c r="BM54" s="7" t="s">
        <v>336</v>
      </c>
      <c r="BS54" s="7" t="s">
        <v>337</v>
      </c>
      <c r="BU54" s="7" t="s">
        <v>620</v>
      </c>
      <c r="BW54" s="7" t="s">
        <v>1061</v>
      </c>
      <c r="BX54" s="7" t="s">
        <v>350</v>
      </c>
      <c r="BZ54" s="7" t="s">
        <v>334</v>
      </c>
      <c r="CL54" s="14"/>
    </row>
    <row r="55" spans="1:90" x14ac:dyDescent="0.2">
      <c r="A55" s="6" t="s">
        <v>61</v>
      </c>
      <c r="B55" s="7" t="s">
        <v>345</v>
      </c>
      <c r="S55" s="7" t="s">
        <v>251</v>
      </c>
      <c r="T55" s="7" t="s">
        <v>334</v>
      </c>
      <c r="W55" s="7">
        <v>0</v>
      </c>
      <c r="X55" s="7" t="s">
        <v>1019</v>
      </c>
      <c r="Z55" s="7" t="s">
        <v>753</v>
      </c>
      <c r="AB55" s="7">
        <v>17</v>
      </c>
      <c r="AC55" s="7" t="s">
        <v>251</v>
      </c>
      <c r="AD55" s="10">
        <v>0.6</v>
      </c>
      <c r="AF55" s="7" t="s">
        <v>334</v>
      </c>
      <c r="AG55" s="14"/>
      <c r="AH55" s="7" t="s">
        <v>336</v>
      </c>
      <c r="AN55" s="7" t="s">
        <v>337</v>
      </c>
      <c r="AP55" s="7" t="s">
        <v>620</v>
      </c>
      <c r="AR55" s="7" t="s">
        <v>1078</v>
      </c>
      <c r="AS55" s="7" t="s">
        <v>130</v>
      </c>
      <c r="AT55" s="7" t="s">
        <v>338</v>
      </c>
      <c r="AU55" s="7" t="s">
        <v>251</v>
      </c>
      <c r="AV55" s="7" t="s">
        <v>334</v>
      </c>
      <c r="AY55" s="7">
        <v>17</v>
      </c>
      <c r="AZ55" s="7" t="s">
        <v>1019</v>
      </c>
      <c r="BB55" s="7" t="s">
        <v>753</v>
      </c>
      <c r="BD55" s="7" t="s">
        <v>1023</v>
      </c>
      <c r="BH55" s="7" t="s">
        <v>251</v>
      </c>
      <c r="BI55" s="13">
        <v>80</v>
      </c>
      <c r="BK55" s="7" t="s">
        <v>251</v>
      </c>
      <c r="BL55" s="14">
        <v>15000</v>
      </c>
      <c r="BM55" s="7" t="s">
        <v>336</v>
      </c>
      <c r="BS55" s="7" t="s">
        <v>337</v>
      </c>
      <c r="BU55" s="7" t="s">
        <v>620</v>
      </c>
      <c r="BW55" s="7" t="s">
        <v>1079</v>
      </c>
      <c r="BX55" s="7" t="s">
        <v>130</v>
      </c>
      <c r="BY55" s="7" t="s">
        <v>338</v>
      </c>
      <c r="BZ55" s="7" t="s">
        <v>334</v>
      </c>
      <c r="CL55" s="14"/>
    </row>
    <row r="56" spans="1:90" x14ac:dyDescent="0.2">
      <c r="A56" s="6" t="s">
        <v>72</v>
      </c>
      <c r="B56" s="7" t="s">
        <v>251</v>
      </c>
      <c r="C56" s="7" t="s">
        <v>334</v>
      </c>
      <c r="F56" s="7" t="s">
        <v>1018</v>
      </c>
      <c r="G56" s="7">
        <v>10</v>
      </c>
      <c r="I56" s="7" t="s">
        <v>334</v>
      </c>
      <c r="J56" s="7" t="s">
        <v>334</v>
      </c>
      <c r="S56" s="7" t="s">
        <v>334</v>
      </c>
      <c r="AU56" s="7" t="s">
        <v>334</v>
      </c>
      <c r="BZ56" s="7" t="s">
        <v>334</v>
      </c>
      <c r="CL56" s="14"/>
    </row>
    <row r="57" spans="1:90" ht="25.5" x14ac:dyDescent="0.2">
      <c r="A57" s="6" t="s">
        <v>16</v>
      </c>
      <c r="B57" s="7" t="s">
        <v>251</v>
      </c>
      <c r="C57" s="7" t="s">
        <v>334</v>
      </c>
      <c r="F57" s="7" t="s">
        <v>1018</v>
      </c>
      <c r="I57" s="7" t="s">
        <v>334</v>
      </c>
      <c r="J57" s="7" t="s">
        <v>334</v>
      </c>
      <c r="S57" s="7" t="s">
        <v>251</v>
      </c>
      <c r="T57" s="7" t="s">
        <v>358</v>
      </c>
      <c r="U57" s="7">
        <v>90</v>
      </c>
      <c r="W57" s="7">
        <v>0</v>
      </c>
      <c r="X57" s="7" t="s">
        <v>1019</v>
      </c>
      <c r="Z57" s="7" t="s">
        <v>753</v>
      </c>
      <c r="AB57" s="7">
        <v>17</v>
      </c>
      <c r="AC57" s="7" t="s">
        <v>334</v>
      </c>
      <c r="AE57" s="7" t="s">
        <v>1031</v>
      </c>
      <c r="AF57" s="7" t="s">
        <v>251</v>
      </c>
      <c r="AG57" s="14">
        <v>4250</v>
      </c>
      <c r="AH57" s="7" t="s">
        <v>336</v>
      </c>
      <c r="AN57" s="7" t="s">
        <v>130</v>
      </c>
      <c r="AO57" s="7" t="s">
        <v>1032</v>
      </c>
      <c r="AS57" s="7" t="s">
        <v>350</v>
      </c>
      <c r="AU57" s="7" t="s">
        <v>251</v>
      </c>
      <c r="AV57" s="7" t="s">
        <v>358</v>
      </c>
      <c r="AW57" s="7">
        <v>90</v>
      </c>
      <c r="AY57" s="7">
        <v>17</v>
      </c>
      <c r="AZ57" s="7" t="s">
        <v>1033</v>
      </c>
      <c r="BB57" s="7" t="s">
        <v>753</v>
      </c>
      <c r="BD57" s="7" t="s">
        <v>130</v>
      </c>
      <c r="BE57" s="7" t="s">
        <v>1034</v>
      </c>
      <c r="BH57" s="7" t="s">
        <v>251</v>
      </c>
      <c r="BI57" s="13">
        <v>66.67</v>
      </c>
      <c r="BK57" s="7" t="s">
        <v>334</v>
      </c>
      <c r="BL57" s="14"/>
      <c r="BM57" s="7" t="s">
        <v>336</v>
      </c>
      <c r="BS57" s="7" t="s">
        <v>337</v>
      </c>
      <c r="BX57" s="7" t="s">
        <v>350</v>
      </c>
      <c r="BZ57" s="7" t="s">
        <v>334</v>
      </c>
      <c r="CL57" s="14"/>
    </row>
    <row r="58" spans="1:90" ht="38.25" x14ac:dyDescent="0.2">
      <c r="A58" s="6" t="s">
        <v>32</v>
      </c>
      <c r="B58" s="7" t="s">
        <v>251</v>
      </c>
      <c r="C58" s="7" t="s">
        <v>334</v>
      </c>
      <c r="F58" s="7" t="s">
        <v>1018</v>
      </c>
      <c r="G58" s="7">
        <v>10</v>
      </c>
      <c r="I58" s="7" t="s">
        <v>334</v>
      </c>
      <c r="J58" s="7" t="s">
        <v>334</v>
      </c>
      <c r="S58" s="7" t="s">
        <v>251</v>
      </c>
      <c r="T58" s="7" t="s">
        <v>334</v>
      </c>
      <c r="W58" s="7">
        <v>0</v>
      </c>
      <c r="X58" s="7" t="s">
        <v>1019</v>
      </c>
      <c r="Z58" s="7" t="s">
        <v>2911</v>
      </c>
      <c r="AB58" s="7">
        <v>16</v>
      </c>
      <c r="AC58" s="7" t="s">
        <v>251</v>
      </c>
      <c r="AD58" s="10">
        <v>1</v>
      </c>
      <c r="AF58" s="7" t="s">
        <v>334</v>
      </c>
      <c r="AG58" s="14"/>
      <c r="AH58" s="7" t="s">
        <v>336</v>
      </c>
      <c r="AN58" s="7" t="s">
        <v>343</v>
      </c>
      <c r="AU58" s="7" t="s">
        <v>251</v>
      </c>
      <c r="AV58" s="7" t="s">
        <v>334</v>
      </c>
      <c r="AY58" s="7">
        <v>16</v>
      </c>
      <c r="AZ58" s="7" t="s">
        <v>1019</v>
      </c>
      <c r="BB58" s="7" t="s">
        <v>2899</v>
      </c>
      <c r="BD58" s="7" t="s">
        <v>1028</v>
      </c>
      <c r="BG58" s="7">
        <v>65</v>
      </c>
      <c r="BH58" s="7" t="s">
        <v>251</v>
      </c>
      <c r="BI58" s="13">
        <v>66</v>
      </c>
      <c r="BK58" s="7" t="s">
        <v>251</v>
      </c>
      <c r="BL58" s="14">
        <v>10000</v>
      </c>
      <c r="BM58" s="7" t="s">
        <v>616</v>
      </c>
      <c r="BS58" s="7" t="s">
        <v>337</v>
      </c>
      <c r="BU58" s="7" t="s">
        <v>556</v>
      </c>
      <c r="BX58" s="7" t="s">
        <v>130</v>
      </c>
      <c r="BY58" s="7" t="s">
        <v>1049</v>
      </c>
      <c r="BZ58" s="7" t="s">
        <v>334</v>
      </c>
      <c r="CL58" s="14"/>
    </row>
    <row r="59" spans="1:90" ht="63.75" x14ac:dyDescent="0.2">
      <c r="A59" s="6" t="s">
        <v>60</v>
      </c>
      <c r="B59" s="7" t="s">
        <v>334</v>
      </c>
      <c r="S59" s="7" t="s">
        <v>251</v>
      </c>
      <c r="T59" s="7" t="s">
        <v>358</v>
      </c>
      <c r="U59" s="7">
        <v>7</v>
      </c>
      <c r="W59" s="7">
        <v>7</v>
      </c>
      <c r="X59" s="7" t="s">
        <v>1019</v>
      </c>
      <c r="Z59" s="7" t="s">
        <v>2901</v>
      </c>
      <c r="AB59" s="7">
        <v>17</v>
      </c>
      <c r="AC59" s="7" t="s">
        <v>334</v>
      </c>
      <c r="AE59" s="7" t="s">
        <v>3363</v>
      </c>
      <c r="AF59" s="7" t="s">
        <v>334</v>
      </c>
      <c r="AG59" s="14"/>
      <c r="AH59" s="7" t="s">
        <v>336</v>
      </c>
      <c r="AN59" s="7" t="s">
        <v>343</v>
      </c>
      <c r="AS59" s="7" t="s">
        <v>130</v>
      </c>
      <c r="AT59" s="7" t="s">
        <v>2717</v>
      </c>
      <c r="AU59" s="7" t="s">
        <v>251</v>
      </c>
      <c r="AV59" s="7" t="s">
        <v>358</v>
      </c>
      <c r="AW59" s="7">
        <v>119</v>
      </c>
      <c r="AY59" s="7">
        <v>17</v>
      </c>
      <c r="AZ59" s="7" t="s">
        <v>1019</v>
      </c>
      <c r="BB59" s="7" t="s">
        <v>2899</v>
      </c>
      <c r="BD59" s="7" t="s">
        <v>1023</v>
      </c>
      <c r="BH59" s="7" t="s">
        <v>251</v>
      </c>
      <c r="BI59" s="13">
        <v>66.67</v>
      </c>
      <c r="BK59" s="7" t="s">
        <v>251</v>
      </c>
      <c r="BL59" s="14">
        <v>8900</v>
      </c>
      <c r="BM59" s="7" t="s">
        <v>336</v>
      </c>
      <c r="BS59" s="7" t="s">
        <v>337</v>
      </c>
      <c r="BU59" s="7" t="s">
        <v>756</v>
      </c>
      <c r="BX59" s="7" t="s">
        <v>1030</v>
      </c>
      <c r="BZ59" s="7" t="s">
        <v>251</v>
      </c>
      <c r="CD59" s="7" t="s">
        <v>380</v>
      </c>
      <c r="CJ59" s="7" t="s">
        <v>2718</v>
      </c>
      <c r="CL59" s="14"/>
    </row>
    <row r="60" spans="1:90" ht="38.25" x14ac:dyDescent="0.2">
      <c r="A60" s="6" t="s">
        <v>39</v>
      </c>
      <c r="B60" s="7" t="s">
        <v>251</v>
      </c>
      <c r="C60" s="7" t="s">
        <v>334</v>
      </c>
      <c r="F60" s="7" t="s">
        <v>1018</v>
      </c>
      <c r="G60" s="7" t="s">
        <v>1059</v>
      </c>
      <c r="I60" s="7" t="s">
        <v>334</v>
      </c>
      <c r="J60" s="7" t="s">
        <v>334</v>
      </c>
      <c r="S60" s="7" t="s">
        <v>334</v>
      </c>
      <c r="AG60" s="14"/>
      <c r="AU60" s="7" t="s">
        <v>251</v>
      </c>
      <c r="AV60" s="7" t="s">
        <v>334</v>
      </c>
      <c r="AY60" s="7">
        <v>17</v>
      </c>
      <c r="AZ60" s="7" t="s">
        <v>1019</v>
      </c>
      <c r="BB60" s="7" t="s">
        <v>2899</v>
      </c>
      <c r="BD60" s="7" t="s">
        <v>1023</v>
      </c>
      <c r="BH60" s="7" t="s">
        <v>251</v>
      </c>
      <c r="BI60" s="13">
        <v>66.67</v>
      </c>
      <c r="BK60" s="7" t="s">
        <v>251</v>
      </c>
      <c r="BL60" s="14">
        <v>7500</v>
      </c>
      <c r="BM60" s="7" t="s">
        <v>336</v>
      </c>
      <c r="BS60" s="7" t="s">
        <v>337</v>
      </c>
      <c r="BU60" s="7" t="s">
        <v>756</v>
      </c>
      <c r="BX60" s="7" t="s">
        <v>130</v>
      </c>
      <c r="BY60" s="7" t="s">
        <v>348</v>
      </c>
      <c r="BZ60" s="7" t="s">
        <v>334</v>
      </c>
      <c r="CL60" s="14"/>
    </row>
    <row r="61" spans="1:90" x14ac:dyDescent="0.2">
      <c r="A61" s="6" t="s">
        <v>40</v>
      </c>
      <c r="B61" s="7" t="s">
        <v>251</v>
      </c>
      <c r="C61" s="7" t="s">
        <v>334</v>
      </c>
      <c r="F61" s="7" t="s">
        <v>1018</v>
      </c>
      <c r="G61" s="7">
        <v>5</v>
      </c>
      <c r="I61" s="7" t="s">
        <v>334</v>
      </c>
      <c r="J61" s="7" t="s">
        <v>251</v>
      </c>
      <c r="K61" s="7" t="s">
        <v>251</v>
      </c>
      <c r="L61" s="7">
        <v>5</v>
      </c>
      <c r="M61" s="7" t="s">
        <v>1038</v>
      </c>
      <c r="O61" s="7" t="s">
        <v>334</v>
      </c>
      <c r="S61" s="7" t="s">
        <v>251</v>
      </c>
      <c r="T61" s="7" t="s">
        <v>334</v>
      </c>
      <c r="W61" s="7">
        <v>7</v>
      </c>
      <c r="X61" s="7" t="s">
        <v>1019</v>
      </c>
      <c r="Z61" s="7" t="s">
        <v>753</v>
      </c>
      <c r="AB61" s="7">
        <v>17</v>
      </c>
      <c r="AC61" s="7" t="s">
        <v>251</v>
      </c>
      <c r="AD61" s="10">
        <v>0.75</v>
      </c>
      <c r="AF61" s="7" t="s">
        <v>251</v>
      </c>
      <c r="AG61" s="14">
        <v>2000</v>
      </c>
      <c r="AH61" s="7" t="s">
        <v>336</v>
      </c>
      <c r="AN61" s="7" t="s">
        <v>343</v>
      </c>
      <c r="AS61" s="7" t="s">
        <v>130</v>
      </c>
      <c r="AT61" s="7" t="s">
        <v>338</v>
      </c>
      <c r="AU61" s="7" t="s">
        <v>251</v>
      </c>
      <c r="AV61" s="7" t="s">
        <v>334</v>
      </c>
      <c r="AY61" s="7">
        <v>17</v>
      </c>
      <c r="AZ61" s="7" t="s">
        <v>1019</v>
      </c>
      <c r="BB61" s="7" t="s">
        <v>753</v>
      </c>
      <c r="BD61" s="7" t="s">
        <v>1023</v>
      </c>
      <c r="BH61" s="7" t="s">
        <v>251</v>
      </c>
      <c r="BI61" s="13">
        <v>60</v>
      </c>
      <c r="BK61" s="7" t="s">
        <v>251</v>
      </c>
      <c r="BL61" s="14">
        <v>10000</v>
      </c>
      <c r="BM61" s="7" t="s">
        <v>616</v>
      </c>
      <c r="BS61" s="7" t="s">
        <v>337</v>
      </c>
      <c r="BU61" s="7" t="s">
        <v>556</v>
      </c>
      <c r="BX61" s="7" t="s">
        <v>130</v>
      </c>
      <c r="BY61" s="7" t="s">
        <v>338</v>
      </c>
      <c r="BZ61" s="7" t="s">
        <v>334</v>
      </c>
      <c r="CL61" s="14"/>
    </row>
    <row r="62" spans="1:90" ht="25.5" x14ac:dyDescent="0.2">
      <c r="A62" s="6" t="s">
        <v>44</v>
      </c>
      <c r="B62" s="7" t="s">
        <v>251</v>
      </c>
      <c r="C62" s="7" t="s">
        <v>334</v>
      </c>
      <c r="F62" s="7" t="s">
        <v>1018</v>
      </c>
      <c r="G62" s="7">
        <v>10</v>
      </c>
      <c r="I62" s="7" t="s">
        <v>334</v>
      </c>
      <c r="J62" s="7" t="s">
        <v>334</v>
      </c>
      <c r="S62" s="7" t="s">
        <v>251</v>
      </c>
      <c r="T62" s="7" t="s">
        <v>358</v>
      </c>
      <c r="U62" s="7">
        <v>90</v>
      </c>
      <c r="W62" s="7">
        <v>5</v>
      </c>
      <c r="X62" s="7" t="s">
        <v>1033</v>
      </c>
      <c r="Z62" s="7" t="s">
        <v>753</v>
      </c>
      <c r="AB62" s="7">
        <v>12</v>
      </c>
      <c r="AC62" s="7" t="s">
        <v>334</v>
      </c>
      <c r="AE62" s="7" t="s">
        <v>1062</v>
      </c>
      <c r="AF62" s="7" t="s">
        <v>334</v>
      </c>
      <c r="AG62" s="14"/>
      <c r="AH62" s="7" t="s">
        <v>336</v>
      </c>
      <c r="AN62" s="7" t="s">
        <v>343</v>
      </c>
      <c r="AU62" s="7" t="s">
        <v>251</v>
      </c>
      <c r="AV62" s="7" t="s">
        <v>334</v>
      </c>
      <c r="AZ62" s="7" t="s">
        <v>1033</v>
      </c>
      <c r="BB62" s="7" t="s">
        <v>753</v>
      </c>
      <c r="BD62" s="7" t="s">
        <v>1028</v>
      </c>
      <c r="BG62" s="7">
        <v>65</v>
      </c>
      <c r="BH62" s="7" t="s">
        <v>251</v>
      </c>
      <c r="BI62" s="13">
        <v>66</v>
      </c>
      <c r="BK62" s="7" t="s">
        <v>334</v>
      </c>
      <c r="BL62" s="14"/>
      <c r="BM62" s="7" t="s">
        <v>616</v>
      </c>
      <c r="BS62" s="7" t="s">
        <v>343</v>
      </c>
      <c r="BX62" s="7" t="s">
        <v>344</v>
      </c>
      <c r="BZ62" s="7" t="s">
        <v>334</v>
      </c>
      <c r="CL62" s="14"/>
    </row>
    <row r="63" spans="1:90" ht="25.5" x14ac:dyDescent="0.2">
      <c r="A63" s="6" t="s">
        <v>58</v>
      </c>
      <c r="B63" s="7" t="s">
        <v>251</v>
      </c>
      <c r="C63" s="7" t="s">
        <v>334</v>
      </c>
      <c r="F63" s="7" t="s">
        <v>1018</v>
      </c>
      <c r="G63" s="7">
        <v>7</v>
      </c>
      <c r="I63" s="7" t="s">
        <v>334</v>
      </c>
      <c r="J63" s="7" t="s">
        <v>334</v>
      </c>
      <c r="S63" s="7" t="s">
        <v>251</v>
      </c>
      <c r="T63" s="7" t="s">
        <v>334</v>
      </c>
      <c r="W63" s="7">
        <v>7</v>
      </c>
      <c r="X63" s="7" t="s">
        <v>1019</v>
      </c>
      <c r="Z63" s="7" t="s">
        <v>2898</v>
      </c>
      <c r="AB63" s="7">
        <v>17</v>
      </c>
      <c r="AC63" s="7" t="s">
        <v>251</v>
      </c>
      <c r="AD63" s="10">
        <v>0.7</v>
      </c>
      <c r="AF63" s="7" t="s">
        <v>334</v>
      </c>
      <c r="AG63" s="14"/>
      <c r="AH63" s="7" t="s">
        <v>336</v>
      </c>
      <c r="AN63" s="7" t="s">
        <v>343</v>
      </c>
      <c r="AU63" s="7" t="s">
        <v>251</v>
      </c>
      <c r="AV63" s="7" t="s">
        <v>334</v>
      </c>
      <c r="AY63" s="7">
        <v>17</v>
      </c>
      <c r="AZ63" s="7" t="s">
        <v>1019</v>
      </c>
      <c r="BB63" s="7" t="s">
        <v>2898</v>
      </c>
      <c r="BD63" s="7" t="s">
        <v>1028</v>
      </c>
      <c r="BG63" s="7">
        <v>65</v>
      </c>
      <c r="BH63" s="7" t="s">
        <v>251</v>
      </c>
      <c r="BI63" s="13">
        <v>75</v>
      </c>
      <c r="BK63" s="7" t="s">
        <v>251</v>
      </c>
      <c r="BL63" s="14">
        <v>15000</v>
      </c>
      <c r="BM63" s="7" t="s">
        <v>336</v>
      </c>
      <c r="BS63" s="7" t="s">
        <v>337</v>
      </c>
      <c r="BU63" s="7" t="s">
        <v>556</v>
      </c>
      <c r="BX63" s="7" t="s">
        <v>130</v>
      </c>
      <c r="BY63" s="7" t="s">
        <v>338</v>
      </c>
      <c r="BZ63" s="7" t="s">
        <v>334</v>
      </c>
      <c r="CL63" s="14"/>
    </row>
    <row r="64" spans="1:90" ht="25.5" x14ac:dyDescent="0.2">
      <c r="A64" s="6" t="s">
        <v>15</v>
      </c>
      <c r="B64" s="7" t="s">
        <v>251</v>
      </c>
      <c r="C64" s="7" t="s">
        <v>334</v>
      </c>
      <c r="F64" s="7" t="s">
        <v>1018</v>
      </c>
      <c r="G64" s="7" t="s">
        <v>1025</v>
      </c>
      <c r="I64" s="7" t="s">
        <v>251</v>
      </c>
      <c r="J64" s="7" t="s">
        <v>334</v>
      </c>
      <c r="S64" s="7" t="s">
        <v>251</v>
      </c>
      <c r="T64" s="7" t="s">
        <v>334</v>
      </c>
      <c r="X64" s="7" t="s">
        <v>1019</v>
      </c>
      <c r="Z64" s="7" t="s">
        <v>753</v>
      </c>
      <c r="AB64" s="7">
        <v>17</v>
      </c>
      <c r="AC64" s="7" t="s">
        <v>334</v>
      </c>
      <c r="AE64" s="7" t="s">
        <v>1026</v>
      </c>
      <c r="AF64" s="7" t="s">
        <v>334</v>
      </c>
      <c r="AG64" s="14"/>
      <c r="AH64" s="7" t="s">
        <v>336</v>
      </c>
      <c r="AN64" s="7" t="s">
        <v>343</v>
      </c>
      <c r="AS64" s="7" t="s">
        <v>130</v>
      </c>
      <c r="AT64" s="7" t="s">
        <v>338</v>
      </c>
      <c r="AU64" s="7" t="s">
        <v>251</v>
      </c>
      <c r="AV64" s="7" t="s">
        <v>334</v>
      </c>
      <c r="AY64" s="7">
        <v>17</v>
      </c>
      <c r="AZ64" s="7" t="s">
        <v>130</v>
      </c>
      <c r="BA64" s="7" t="s">
        <v>1027</v>
      </c>
      <c r="BB64" s="7" t="s">
        <v>753</v>
      </c>
      <c r="BD64" s="7" t="s">
        <v>1028</v>
      </c>
      <c r="BH64" s="7" t="s">
        <v>334</v>
      </c>
      <c r="BI64" s="13"/>
      <c r="BJ64" s="7" t="s">
        <v>1029</v>
      </c>
      <c r="BK64" s="7" t="s">
        <v>251</v>
      </c>
      <c r="BL64" s="14">
        <v>10000</v>
      </c>
      <c r="BM64" s="7" t="s">
        <v>616</v>
      </c>
      <c r="BS64" s="7" t="s">
        <v>337</v>
      </c>
      <c r="BU64" s="7" t="s">
        <v>756</v>
      </c>
      <c r="BX64" s="7" t="s">
        <v>1030</v>
      </c>
      <c r="BZ64" s="7" t="s">
        <v>334</v>
      </c>
      <c r="CL64" s="14"/>
    </row>
    <row r="65" spans="1:103" x14ac:dyDescent="0.2">
      <c r="A65" s="21" t="s">
        <v>3357</v>
      </c>
      <c r="B65" s="7">
        <f t="shared" ref="B65:AG65" si="0">COUNTA(B3:B64)</f>
        <v>62</v>
      </c>
      <c r="C65" s="7">
        <f t="shared" si="0"/>
        <v>40</v>
      </c>
      <c r="D65" s="7">
        <f t="shared" si="0"/>
        <v>0</v>
      </c>
      <c r="E65" s="7">
        <f t="shared" si="0"/>
        <v>0</v>
      </c>
      <c r="F65" s="7">
        <f t="shared" si="0"/>
        <v>40</v>
      </c>
      <c r="G65" s="7">
        <f t="shared" si="0"/>
        <v>37</v>
      </c>
      <c r="H65" s="7">
        <f t="shared" si="0"/>
        <v>1</v>
      </c>
      <c r="I65" s="7">
        <f t="shared" si="0"/>
        <v>40</v>
      </c>
      <c r="J65" s="7">
        <f t="shared" si="0"/>
        <v>40</v>
      </c>
      <c r="K65" s="7">
        <f t="shared" si="0"/>
        <v>4</v>
      </c>
      <c r="L65" s="7">
        <f t="shared" si="0"/>
        <v>4</v>
      </c>
      <c r="M65" s="7">
        <f t="shared" si="0"/>
        <v>4</v>
      </c>
      <c r="N65" s="7">
        <f t="shared" si="0"/>
        <v>0</v>
      </c>
      <c r="O65" s="7">
        <f t="shared" si="0"/>
        <v>4</v>
      </c>
      <c r="P65" s="7">
        <f t="shared" si="0"/>
        <v>0</v>
      </c>
      <c r="Q65" s="7">
        <f t="shared" si="0"/>
        <v>0</v>
      </c>
      <c r="R65" s="7">
        <f t="shared" si="0"/>
        <v>0</v>
      </c>
      <c r="S65" s="7">
        <f t="shared" si="0"/>
        <v>62</v>
      </c>
      <c r="T65" s="7">
        <f t="shared" si="0"/>
        <v>54</v>
      </c>
      <c r="U65" s="7">
        <f t="shared" si="0"/>
        <v>4</v>
      </c>
      <c r="V65" s="7">
        <f t="shared" si="0"/>
        <v>0</v>
      </c>
      <c r="W65" s="7">
        <f t="shared" si="0"/>
        <v>49</v>
      </c>
      <c r="X65" s="7">
        <f t="shared" si="0"/>
        <v>54</v>
      </c>
      <c r="Y65" s="7">
        <f t="shared" si="0"/>
        <v>0</v>
      </c>
      <c r="Z65" s="7">
        <f t="shared" si="0"/>
        <v>52</v>
      </c>
      <c r="AA65" s="7">
        <f t="shared" si="0"/>
        <v>2</v>
      </c>
      <c r="AB65" s="7">
        <f t="shared" si="0"/>
        <v>54</v>
      </c>
      <c r="AC65" s="7">
        <f t="shared" si="0"/>
        <v>54</v>
      </c>
      <c r="AD65" s="7">
        <f t="shared" si="0"/>
        <v>37</v>
      </c>
      <c r="AE65" s="7">
        <f t="shared" si="0"/>
        <v>17</v>
      </c>
      <c r="AF65" s="7">
        <f t="shared" si="0"/>
        <v>54</v>
      </c>
      <c r="AG65" s="7">
        <f t="shared" si="0"/>
        <v>33</v>
      </c>
      <c r="AH65" s="7">
        <f t="shared" ref="AH65:BM65" si="1">COUNTA(AH3:AH64)</f>
        <v>54</v>
      </c>
      <c r="AI65" s="7">
        <f t="shared" si="1"/>
        <v>0</v>
      </c>
      <c r="AJ65" s="7">
        <f t="shared" si="1"/>
        <v>0</v>
      </c>
      <c r="AK65" s="7">
        <f t="shared" si="1"/>
        <v>0</v>
      </c>
      <c r="AL65" s="7">
        <f t="shared" si="1"/>
        <v>0</v>
      </c>
      <c r="AM65" s="7">
        <f t="shared" si="1"/>
        <v>0</v>
      </c>
      <c r="AN65" s="7">
        <f t="shared" si="1"/>
        <v>54</v>
      </c>
      <c r="AO65" s="7">
        <f t="shared" si="1"/>
        <v>2</v>
      </c>
      <c r="AP65" s="7">
        <f t="shared" si="1"/>
        <v>24</v>
      </c>
      <c r="AQ65" s="7">
        <f t="shared" si="1"/>
        <v>1</v>
      </c>
      <c r="AR65" s="7">
        <f t="shared" si="1"/>
        <v>3</v>
      </c>
      <c r="AS65" s="7">
        <f t="shared" si="1"/>
        <v>39</v>
      </c>
      <c r="AT65" s="7">
        <f t="shared" si="1"/>
        <v>22</v>
      </c>
      <c r="AU65" s="7">
        <f t="shared" si="1"/>
        <v>62</v>
      </c>
      <c r="AV65" s="7">
        <f t="shared" si="1"/>
        <v>52</v>
      </c>
      <c r="AW65" s="7">
        <f t="shared" si="1"/>
        <v>6</v>
      </c>
      <c r="AX65" s="7">
        <f t="shared" si="1"/>
        <v>0</v>
      </c>
      <c r="AY65" s="7">
        <f t="shared" si="1"/>
        <v>50</v>
      </c>
      <c r="AZ65" s="7">
        <f t="shared" si="1"/>
        <v>53</v>
      </c>
      <c r="BA65" s="7">
        <f t="shared" si="1"/>
        <v>9</v>
      </c>
      <c r="BB65" s="7">
        <f t="shared" si="1"/>
        <v>52</v>
      </c>
      <c r="BC65" s="7">
        <f t="shared" si="1"/>
        <v>3</v>
      </c>
      <c r="BD65" s="7">
        <f t="shared" si="1"/>
        <v>53</v>
      </c>
      <c r="BE65" s="7">
        <f t="shared" si="1"/>
        <v>7</v>
      </c>
      <c r="BF65" s="7">
        <f t="shared" si="1"/>
        <v>1</v>
      </c>
      <c r="BG65" s="7">
        <f t="shared" si="1"/>
        <v>12</v>
      </c>
      <c r="BH65" s="7">
        <f t="shared" si="1"/>
        <v>53</v>
      </c>
      <c r="BI65" s="7">
        <f t="shared" si="1"/>
        <v>45</v>
      </c>
      <c r="BJ65" s="7">
        <f t="shared" si="1"/>
        <v>5</v>
      </c>
      <c r="BK65" s="7">
        <f t="shared" si="1"/>
        <v>53</v>
      </c>
      <c r="BL65" s="7">
        <f t="shared" si="1"/>
        <v>50</v>
      </c>
      <c r="BM65" s="7">
        <f t="shared" si="1"/>
        <v>53</v>
      </c>
      <c r="BN65" s="7">
        <f t="shared" ref="BN65:CS65" si="2">COUNTA(BN3:BN64)</f>
        <v>0</v>
      </c>
      <c r="BO65" s="7">
        <f t="shared" si="2"/>
        <v>0</v>
      </c>
      <c r="BP65" s="7">
        <f t="shared" si="2"/>
        <v>0</v>
      </c>
      <c r="BQ65" s="7">
        <f t="shared" si="2"/>
        <v>0</v>
      </c>
      <c r="BR65" s="7">
        <f t="shared" si="2"/>
        <v>0</v>
      </c>
      <c r="BS65" s="7">
        <f t="shared" si="2"/>
        <v>53</v>
      </c>
      <c r="BT65" s="7">
        <f t="shared" si="2"/>
        <v>0</v>
      </c>
      <c r="BU65" s="7">
        <f t="shared" si="2"/>
        <v>46</v>
      </c>
      <c r="BV65" s="7">
        <f t="shared" si="2"/>
        <v>3</v>
      </c>
      <c r="BW65" s="7">
        <f t="shared" si="2"/>
        <v>3</v>
      </c>
      <c r="BX65" s="7">
        <f t="shared" si="2"/>
        <v>52</v>
      </c>
      <c r="BY65" s="7">
        <f t="shared" si="2"/>
        <v>21</v>
      </c>
      <c r="BZ65" s="7">
        <f t="shared" si="2"/>
        <v>62</v>
      </c>
      <c r="CA65" s="7">
        <f t="shared" si="2"/>
        <v>2</v>
      </c>
      <c r="CB65" s="7">
        <f t="shared" si="2"/>
        <v>0</v>
      </c>
      <c r="CC65" s="7">
        <f t="shared" si="2"/>
        <v>0</v>
      </c>
      <c r="CD65" s="7">
        <f t="shared" si="2"/>
        <v>3</v>
      </c>
      <c r="CE65" s="7">
        <f t="shared" si="2"/>
        <v>1</v>
      </c>
      <c r="CF65" s="7">
        <f t="shared" si="2"/>
        <v>1</v>
      </c>
      <c r="CG65" s="7">
        <f t="shared" si="2"/>
        <v>1</v>
      </c>
      <c r="CH65" s="7">
        <f t="shared" si="2"/>
        <v>1</v>
      </c>
      <c r="CI65" s="7">
        <f t="shared" si="2"/>
        <v>1</v>
      </c>
      <c r="CJ65" s="7">
        <f t="shared" si="2"/>
        <v>1</v>
      </c>
      <c r="CK65" s="7">
        <f t="shared" si="2"/>
        <v>1</v>
      </c>
      <c r="CL65" s="7">
        <f t="shared" si="2"/>
        <v>1</v>
      </c>
      <c r="CM65" s="7">
        <f t="shared" si="2"/>
        <v>2</v>
      </c>
      <c r="CN65" s="7">
        <f t="shared" si="2"/>
        <v>0</v>
      </c>
      <c r="CO65" s="7">
        <f t="shared" si="2"/>
        <v>0</v>
      </c>
      <c r="CP65" s="7">
        <f t="shared" si="2"/>
        <v>0</v>
      </c>
      <c r="CQ65" s="7">
        <f t="shared" si="2"/>
        <v>0</v>
      </c>
      <c r="CR65" s="7">
        <f t="shared" si="2"/>
        <v>0</v>
      </c>
      <c r="CS65" s="7">
        <f t="shared" si="2"/>
        <v>2</v>
      </c>
      <c r="CT65" s="7">
        <f t="shared" ref="CT65:CY65" si="3">COUNTA(CT3:CT64)</f>
        <v>0</v>
      </c>
      <c r="CU65" s="7">
        <f t="shared" si="3"/>
        <v>2</v>
      </c>
      <c r="CV65" s="7">
        <f t="shared" si="3"/>
        <v>0</v>
      </c>
      <c r="CW65" s="7">
        <f t="shared" si="3"/>
        <v>0</v>
      </c>
      <c r="CX65" s="7">
        <f t="shared" si="3"/>
        <v>2</v>
      </c>
      <c r="CY65" s="7">
        <f t="shared" si="3"/>
        <v>2</v>
      </c>
    </row>
  </sheetData>
  <autoFilter ref="A2:CY64" xr:uid="{C1DCE15F-AB0B-4CC1-8576-86C651351DE6}"/>
  <sortState xmlns:xlrd2="http://schemas.microsoft.com/office/spreadsheetml/2017/richdata2" ref="A3:CY64">
    <sortCondition ref="A3:A64"/>
  </sortState>
  <hyperlinks>
    <hyperlink ref="A1" location="Index!A1" display="Back to Index" xr:uid="{00000000-0004-0000-05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4.42578125" style="6" customWidth="1"/>
    <col min="2" max="81" width="30.7109375" style="7" customWidth="1"/>
    <col min="82" max="16384" width="15.7109375" style="6"/>
  </cols>
  <sheetData>
    <row r="1" spans="1:81" s="9" customFormat="1" x14ac:dyDescent="0.2">
      <c r="A1" s="12" t="s">
        <v>1984</v>
      </c>
      <c r="B1" s="8" t="s">
        <v>1093</v>
      </c>
      <c r="C1" s="8" t="s">
        <v>1094</v>
      </c>
      <c r="D1" s="8" t="s">
        <v>1095</v>
      </c>
      <c r="E1" s="8" t="s">
        <v>1096</v>
      </c>
      <c r="F1" s="8" t="s">
        <v>1097</v>
      </c>
      <c r="G1" s="8" t="s">
        <v>1098</v>
      </c>
      <c r="H1" s="8" t="s">
        <v>1099</v>
      </c>
      <c r="I1" s="8" t="s">
        <v>1100</v>
      </c>
      <c r="J1" s="8" t="s">
        <v>1101</v>
      </c>
      <c r="K1" s="8" t="s">
        <v>1102</v>
      </c>
      <c r="L1" s="8" t="s">
        <v>1103</v>
      </c>
      <c r="M1" s="8" t="s">
        <v>1104</v>
      </c>
      <c r="N1" s="8" t="s">
        <v>1105</v>
      </c>
      <c r="O1" s="8" t="s">
        <v>1106</v>
      </c>
      <c r="P1" s="8" t="s">
        <v>1107</v>
      </c>
      <c r="Q1" s="8" t="s">
        <v>1108</v>
      </c>
      <c r="R1" s="8" t="s">
        <v>1109</v>
      </c>
      <c r="S1" s="8" t="s">
        <v>1110</v>
      </c>
      <c r="T1" s="8" t="s">
        <v>1111</v>
      </c>
      <c r="U1" s="8" t="s">
        <v>1112</v>
      </c>
      <c r="V1" s="8" t="s">
        <v>1113</v>
      </c>
      <c r="W1" s="8" t="s">
        <v>1114</v>
      </c>
      <c r="X1" s="8" t="s">
        <v>1115</v>
      </c>
      <c r="Y1" s="8" t="s">
        <v>1116</v>
      </c>
      <c r="Z1" s="8" t="s">
        <v>1117</v>
      </c>
      <c r="AA1" s="8" t="s">
        <v>1118</v>
      </c>
      <c r="AB1" s="8" t="s">
        <v>1119</v>
      </c>
      <c r="AC1" s="8" t="s">
        <v>1120</v>
      </c>
      <c r="AD1" s="8" t="s">
        <v>1121</v>
      </c>
      <c r="AE1" s="8" t="s">
        <v>1122</v>
      </c>
      <c r="AF1" s="8" t="s">
        <v>1123</v>
      </c>
      <c r="AG1" s="8" t="s">
        <v>1124</v>
      </c>
      <c r="AH1" s="8" t="s">
        <v>1125</v>
      </c>
      <c r="AI1" s="8" t="s">
        <v>1126</v>
      </c>
      <c r="AJ1" s="8" t="s">
        <v>1127</v>
      </c>
      <c r="AK1" s="8" t="s">
        <v>1128</v>
      </c>
      <c r="AL1" s="8" t="s">
        <v>1129</v>
      </c>
      <c r="AM1" s="8" t="s">
        <v>1130</v>
      </c>
      <c r="AN1" s="8" t="s">
        <v>1131</v>
      </c>
      <c r="AO1" s="8" t="s">
        <v>1132</v>
      </c>
      <c r="AP1" s="8" t="s">
        <v>1133</v>
      </c>
      <c r="AQ1" s="8" t="s">
        <v>1134</v>
      </c>
      <c r="AR1" s="8" t="s">
        <v>1135</v>
      </c>
      <c r="AS1" s="8" t="s">
        <v>1136</v>
      </c>
      <c r="AT1" s="8" t="s">
        <v>1137</v>
      </c>
      <c r="AU1" s="8" t="s">
        <v>1138</v>
      </c>
      <c r="AV1" s="8" t="s">
        <v>1139</v>
      </c>
      <c r="AW1" s="8" t="s">
        <v>1140</v>
      </c>
      <c r="AX1" s="8" t="s">
        <v>1141</v>
      </c>
      <c r="AY1" s="8" t="s">
        <v>1142</v>
      </c>
      <c r="AZ1" s="8" t="s">
        <v>1143</v>
      </c>
      <c r="BA1" s="8" t="s">
        <v>1144</v>
      </c>
      <c r="BB1" s="8" t="s">
        <v>1145</v>
      </c>
      <c r="BC1" s="8" t="s">
        <v>1146</v>
      </c>
      <c r="BD1" s="8" t="s">
        <v>1147</v>
      </c>
      <c r="BE1" s="8" t="s">
        <v>1148</v>
      </c>
      <c r="BF1" s="8" t="s">
        <v>1149</v>
      </c>
      <c r="BG1" s="8" t="s">
        <v>1150</v>
      </c>
      <c r="BH1" s="8" t="s">
        <v>1151</v>
      </c>
      <c r="BI1" s="8" t="s">
        <v>1152</v>
      </c>
      <c r="BJ1" s="8" t="s">
        <v>1153</v>
      </c>
      <c r="BK1" s="8" t="s">
        <v>1154</v>
      </c>
      <c r="BL1" s="8" t="s">
        <v>1155</v>
      </c>
      <c r="BM1" s="8" t="s">
        <v>1156</v>
      </c>
      <c r="BN1" s="8" t="s">
        <v>1157</v>
      </c>
      <c r="BO1" s="8" t="s">
        <v>1158</v>
      </c>
      <c r="BP1" s="8" t="s">
        <v>1159</v>
      </c>
      <c r="BQ1" s="8" t="s">
        <v>1160</v>
      </c>
      <c r="BR1" s="8" t="s">
        <v>1161</v>
      </c>
      <c r="BS1" s="8" t="s">
        <v>1162</v>
      </c>
      <c r="BT1" s="8" t="s">
        <v>1163</v>
      </c>
      <c r="BU1" s="8" t="s">
        <v>1164</v>
      </c>
      <c r="BV1" s="8" t="s">
        <v>1165</v>
      </c>
      <c r="BW1" s="8" t="s">
        <v>1166</v>
      </c>
      <c r="BX1" s="8" t="s">
        <v>1167</v>
      </c>
      <c r="BY1" s="8" t="s">
        <v>1168</v>
      </c>
      <c r="BZ1" s="8" t="s">
        <v>1169</v>
      </c>
      <c r="CA1" s="8" t="s">
        <v>1170</v>
      </c>
      <c r="CB1" s="8" t="s">
        <v>1171</v>
      </c>
      <c r="CC1" s="8" t="s">
        <v>1172</v>
      </c>
    </row>
    <row r="2" spans="1:81" s="9" customFormat="1" ht="63.75" x14ac:dyDescent="0.2">
      <c r="A2" s="9" t="s">
        <v>2713</v>
      </c>
      <c r="B2" s="17" t="s">
        <v>2271</v>
      </c>
      <c r="C2" s="8" t="s">
        <v>2202</v>
      </c>
      <c r="D2" s="8" t="s">
        <v>1994</v>
      </c>
      <c r="E2" s="8" t="s">
        <v>1995</v>
      </c>
      <c r="F2" s="17" t="s">
        <v>2272</v>
      </c>
      <c r="G2" s="8" t="s">
        <v>2719</v>
      </c>
      <c r="H2" s="8" t="s">
        <v>2720</v>
      </c>
      <c r="I2" s="18" t="s">
        <v>2721</v>
      </c>
      <c r="J2" s="18" t="s">
        <v>2722</v>
      </c>
      <c r="K2" s="18" t="s">
        <v>2723</v>
      </c>
      <c r="L2" s="8" t="s">
        <v>2724</v>
      </c>
      <c r="M2" s="8" t="s">
        <v>2725</v>
      </c>
      <c r="N2" s="8" t="s">
        <v>2726</v>
      </c>
      <c r="O2" s="8" t="s">
        <v>2727</v>
      </c>
      <c r="P2" s="8" t="s">
        <v>2728</v>
      </c>
      <c r="Q2" s="18" t="s">
        <v>2729</v>
      </c>
      <c r="R2" s="18" t="s">
        <v>2730</v>
      </c>
      <c r="S2" s="8" t="s">
        <v>2731</v>
      </c>
      <c r="T2" s="8" t="s">
        <v>2275</v>
      </c>
      <c r="U2" s="8" t="s">
        <v>2276</v>
      </c>
      <c r="V2" s="18" t="s">
        <v>2277</v>
      </c>
      <c r="W2" s="18" t="s">
        <v>2278</v>
      </c>
      <c r="X2" s="18" t="s">
        <v>2279</v>
      </c>
      <c r="Y2" s="18" t="s">
        <v>2280</v>
      </c>
      <c r="Z2" s="18" t="s">
        <v>2281</v>
      </c>
      <c r="AA2" s="18" t="s">
        <v>2282</v>
      </c>
      <c r="AB2" s="8" t="s">
        <v>2283</v>
      </c>
      <c r="AC2" s="8" t="s">
        <v>2284</v>
      </c>
      <c r="AD2" s="8" t="s">
        <v>2285</v>
      </c>
      <c r="AE2" s="8" t="s">
        <v>2286</v>
      </c>
      <c r="AF2" s="18" t="s">
        <v>2287</v>
      </c>
      <c r="AG2" s="18" t="s">
        <v>2288</v>
      </c>
      <c r="AH2" s="18" t="s">
        <v>2289</v>
      </c>
      <c r="AI2" s="18" t="s">
        <v>2290</v>
      </c>
      <c r="AJ2" s="8" t="s">
        <v>2291</v>
      </c>
      <c r="AK2" s="8" t="s">
        <v>2292</v>
      </c>
      <c r="AL2" s="17" t="s">
        <v>2732</v>
      </c>
      <c r="AM2" s="17" t="s">
        <v>2733</v>
      </c>
      <c r="AN2" s="17" t="s">
        <v>2734</v>
      </c>
      <c r="AO2" s="17" t="s">
        <v>2735</v>
      </c>
      <c r="AP2" s="17" t="s">
        <v>2736</v>
      </c>
      <c r="AQ2" s="17" t="s">
        <v>2737</v>
      </c>
      <c r="AR2" s="17" t="s">
        <v>2738</v>
      </c>
      <c r="AS2" s="17" t="s">
        <v>2739</v>
      </c>
      <c r="AT2" s="17" t="s">
        <v>2740</v>
      </c>
      <c r="AU2" s="17" t="s">
        <v>2741</v>
      </c>
      <c r="AV2" s="17" t="s">
        <v>2293</v>
      </c>
      <c r="AW2" s="17" t="s">
        <v>2285</v>
      </c>
      <c r="AX2" s="17" t="s">
        <v>2286</v>
      </c>
      <c r="AY2" s="17" t="s">
        <v>2294</v>
      </c>
      <c r="AZ2" s="17" t="s">
        <v>2295</v>
      </c>
      <c r="BA2" s="17" t="s">
        <v>2296</v>
      </c>
      <c r="BB2" s="17" t="s">
        <v>2297</v>
      </c>
      <c r="BC2" s="17" t="s">
        <v>2298</v>
      </c>
      <c r="BD2" s="18" t="s">
        <v>2299</v>
      </c>
      <c r="BE2" s="17" t="s">
        <v>2300</v>
      </c>
      <c r="BF2" s="17" t="s">
        <v>2273</v>
      </c>
      <c r="BG2" s="17" t="s">
        <v>2274</v>
      </c>
      <c r="BH2" s="17" t="s">
        <v>2301</v>
      </c>
      <c r="BI2" s="17" t="s">
        <v>2276</v>
      </c>
      <c r="BJ2" s="17" t="s">
        <v>2277</v>
      </c>
      <c r="BK2" s="17" t="s">
        <v>2278</v>
      </c>
      <c r="BL2" s="17" t="s">
        <v>2279</v>
      </c>
      <c r="BM2" s="17" t="s">
        <v>2280</v>
      </c>
      <c r="BN2" s="17" t="s">
        <v>2281</v>
      </c>
      <c r="BO2" s="17" t="s">
        <v>2302</v>
      </c>
      <c r="BP2" s="18" t="s">
        <v>2303</v>
      </c>
      <c r="BQ2" s="18" t="s">
        <v>2273</v>
      </c>
      <c r="BR2" s="18" t="s">
        <v>2274</v>
      </c>
      <c r="BS2" s="18" t="s">
        <v>2304</v>
      </c>
      <c r="BT2" s="18" t="s">
        <v>2276</v>
      </c>
      <c r="BU2" s="18" t="s">
        <v>2277</v>
      </c>
      <c r="BV2" s="18" t="s">
        <v>2278</v>
      </c>
      <c r="BW2" s="18" t="s">
        <v>2279</v>
      </c>
      <c r="BX2" s="18" t="s">
        <v>2280</v>
      </c>
      <c r="BY2" s="18" t="s">
        <v>2281</v>
      </c>
      <c r="BZ2" s="18" t="s">
        <v>2305</v>
      </c>
      <c r="CA2" s="17" t="s">
        <v>2306</v>
      </c>
      <c r="CB2" s="8" t="s">
        <v>2307</v>
      </c>
      <c r="CC2" s="8" t="s">
        <v>2308</v>
      </c>
    </row>
    <row r="3" spans="1:81" ht="38.25" x14ac:dyDescent="0.2">
      <c r="A3" s="6" t="s">
        <v>69</v>
      </c>
      <c r="B3" s="7" t="s">
        <v>251</v>
      </c>
      <c r="C3" s="7" t="s">
        <v>334</v>
      </c>
      <c r="F3" s="7" t="s">
        <v>1184</v>
      </c>
      <c r="U3" s="13"/>
      <c r="X3" s="13"/>
      <c r="AI3" s="13"/>
      <c r="BE3" s="7" t="s">
        <v>1174</v>
      </c>
      <c r="BF3" s="7" t="s">
        <v>2896</v>
      </c>
      <c r="BH3" s="13"/>
      <c r="BI3" s="13">
        <v>100</v>
      </c>
      <c r="BJ3" s="7" t="s">
        <v>251</v>
      </c>
      <c r="BK3" s="7" t="s">
        <v>396</v>
      </c>
      <c r="BL3" s="13"/>
      <c r="BM3" s="14">
        <v>1120</v>
      </c>
      <c r="CB3" s="7" t="s">
        <v>334</v>
      </c>
    </row>
    <row r="4" spans="1:81" ht="38.25" x14ac:dyDescent="0.2">
      <c r="A4" s="6" t="s">
        <v>45</v>
      </c>
      <c r="B4" s="7" t="s">
        <v>251</v>
      </c>
      <c r="C4" s="7" t="s">
        <v>334</v>
      </c>
      <c r="F4" s="7" t="s">
        <v>1176</v>
      </c>
      <c r="U4" s="13"/>
      <c r="X4" s="13"/>
      <c r="AI4" s="13"/>
      <c r="BE4" s="7" t="s">
        <v>1174</v>
      </c>
      <c r="BF4" s="7" t="s">
        <v>2896</v>
      </c>
      <c r="BH4" s="13"/>
      <c r="BI4" s="13"/>
      <c r="BJ4" s="7" t="s">
        <v>251</v>
      </c>
      <c r="BK4" s="7" t="s">
        <v>396</v>
      </c>
      <c r="BL4" s="13"/>
      <c r="BM4" s="14">
        <v>6000</v>
      </c>
      <c r="CB4" s="7" t="s">
        <v>334</v>
      </c>
    </row>
    <row r="5" spans="1:81" ht="38.25" x14ac:dyDescent="0.2">
      <c r="A5" s="6" t="s">
        <v>18</v>
      </c>
      <c r="B5" s="7" t="s">
        <v>251</v>
      </c>
      <c r="C5" s="7" t="s">
        <v>334</v>
      </c>
      <c r="F5" s="7" t="s">
        <v>1176</v>
      </c>
      <c r="T5" s="13"/>
      <c r="U5" s="13"/>
      <c r="X5" s="13"/>
      <c r="AI5" s="13"/>
      <c r="BE5" s="7" t="s">
        <v>1174</v>
      </c>
      <c r="BF5" s="7" t="s">
        <v>753</v>
      </c>
      <c r="BH5" s="13"/>
      <c r="BI5" s="13">
        <v>5</v>
      </c>
      <c r="BJ5" s="7" t="s">
        <v>251</v>
      </c>
      <c r="BK5" s="7" t="s">
        <v>396</v>
      </c>
      <c r="BL5" s="13"/>
      <c r="BM5" s="14">
        <v>5000</v>
      </c>
      <c r="CB5" s="7" t="s">
        <v>334</v>
      </c>
    </row>
    <row r="6" spans="1:81" ht="38.25" x14ac:dyDescent="0.2">
      <c r="A6" s="6" t="s">
        <v>30</v>
      </c>
      <c r="B6" s="7" t="s">
        <v>251</v>
      </c>
      <c r="C6" s="7" t="s">
        <v>334</v>
      </c>
      <c r="F6" s="7" t="s">
        <v>1176</v>
      </c>
      <c r="T6" s="13"/>
      <c r="U6" s="13"/>
      <c r="X6" s="13"/>
      <c r="AI6" s="13"/>
      <c r="BE6" s="7" t="s">
        <v>1174</v>
      </c>
      <c r="BF6" s="7" t="s">
        <v>2901</v>
      </c>
      <c r="BH6" s="13"/>
      <c r="BI6" s="13">
        <v>100</v>
      </c>
      <c r="BJ6" s="7" t="s">
        <v>251</v>
      </c>
      <c r="BK6" s="7" t="s">
        <v>341</v>
      </c>
      <c r="BL6" s="13">
        <v>6</v>
      </c>
      <c r="BM6" s="14"/>
      <c r="CB6" s="7" t="s">
        <v>345</v>
      </c>
    </row>
    <row r="7" spans="1:81" ht="38.25" x14ac:dyDescent="0.2">
      <c r="A7" s="6" t="s">
        <v>66</v>
      </c>
      <c r="B7" s="7" t="s">
        <v>251</v>
      </c>
      <c r="C7" s="7" t="s">
        <v>334</v>
      </c>
      <c r="F7" s="7" t="s">
        <v>1176</v>
      </c>
      <c r="U7" s="13"/>
      <c r="X7" s="13"/>
      <c r="AI7" s="13"/>
      <c r="BE7" s="7" t="s">
        <v>1180</v>
      </c>
      <c r="BF7" s="7" t="s">
        <v>2899</v>
      </c>
      <c r="BH7" s="13">
        <v>3</v>
      </c>
      <c r="BI7" s="13"/>
      <c r="BL7" s="13"/>
      <c r="BM7" s="14"/>
      <c r="CB7" s="7" t="s">
        <v>334</v>
      </c>
    </row>
    <row r="8" spans="1:81" x14ac:dyDescent="0.2">
      <c r="A8" s="6" t="s">
        <v>34</v>
      </c>
      <c r="B8" s="7" t="s">
        <v>334</v>
      </c>
      <c r="T8" s="13"/>
      <c r="U8" s="13"/>
      <c r="X8" s="13"/>
      <c r="AI8" s="13"/>
      <c r="BH8" s="13"/>
      <c r="BI8" s="13"/>
      <c r="BL8" s="13"/>
      <c r="BM8" s="14"/>
    </row>
    <row r="9" spans="1:81" ht="38.25" x14ac:dyDescent="0.2">
      <c r="A9" s="6" t="s">
        <v>31</v>
      </c>
      <c r="B9" s="7" t="s">
        <v>251</v>
      </c>
      <c r="C9" s="7" t="s">
        <v>334</v>
      </c>
      <c r="F9" s="7" t="s">
        <v>1187</v>
      </c>
      <c r="G9" s="7" t="s">
        <v>770</v>
      </c>
      <c r="I9" s="7" t="s">
        <v>1179</v>
      </c>
      <c r="S9" s="7" t="s">
        <v>1174</v>
      </c>
      <c r="T9" s="13"/>
      <c r="U9" s="13">
        <v>100</v>
      </c>
      <c r="V9" s="7" t="s">
        <v>251</v>
      </c>
      <c r="W9" s="7" t="s">
        <v>341</v>
      </c>
      <c r="X9" s="13">
        <v>5</v>
      </c>
      <c r="AB9" s="7" t="s">
        <v>1181</v>
      </c>
      <c r="AF9" s="22" t="s">
        <v>3365</v>
      </c>
      <c r="AG9" s="7" t="s">
        <v>1188</v>
      </c>
      <c r="AI9" s="13"/>
      <c r="AJ9" s="7" t="s">
        <v>344</v>
      </c>
      <c r="BE9" s="7" t="s">
        <v>1175</v>
      </c>
      <c r="BH9" s="13"/>
      <c r="BI9" s="13"/>
      <c r="BL9" s="13"/>
      <c r="BM9" s="14"/>
      <c r="CB9" s="7" t="s">
        <v>334</v>
      </c>
    </row>
    <row r="10" spans="1:81" ht="38.25" x14ac:dyDescent="0.2">
      <c r="A10" s="6" t="s">
        <v>46</v>
      </c>
      <c r="B10" s="7" t="s">
        <v>251</v>
      </c>
      <c r="C10" s="7" t="s">
        <v>334</v>
      </c>
      <c r="F10" s="7" t="s">
        <v>1176</v>
      </c>
      <c r="U10" s="13"/>
      <c r="X10" s="13"/>
      <c r="AI10" s="13"/>
      <c r="BE10" s="7" t="s">
        <v>1174</v>
      </c>
      <c r="BF10" s="7" t="s">
        <v>2915</v>
      </c>
      <c r="BH10" s="13"/>
      <c r="BI10" s="13">
        <v>100</v>
      </c>
      <c r="BJ10" s="7" t="s">
        <v>251</v>
      </c>
      <c r="BK10" s="7" t="s">
        <v>341</v>
      </c>
      <c r="BL10" s="13">
        <v>4.5</v>
      </c>
      <c r="BM10" s="14"/>
      <c r="CB10" s="7" t="s">
        <v>334</v>
      </c>
    </row>
    <row r="11" spans="1:81" ht="38.25" x14ac:dyDescent="0.2">
      <c r="A11" s="6" t="s">
        <v>42</v>
      </c>
      <c r="B11" s="7" t="s">
        <v>251</v>
      </c>
      <c r="C11" s="7" t="s">
        <v>334</v>
      </c>
      <c r="F11" s="7" t="s">
        <v>1187</v>
      </c>
      <c r="G11" s="7" t="s">
        <v>1186</v>
      </c>
      <c r="I11" s="7" t="s">
        <v>1179</v>
      </c>
      <c r="S11" s="7" t="s">
        <v>1174</v>
      </c>
      <c r="U11" s="13">
        <v>5</v>
      </c>
      <c r="V11" s="7" t="s">
        <v>251</v>
      </c>
      <c r="W11" s="7" t="s">
        <v>396</v>
      </c>
      <c r="X11" s="13"/>
      <c r="Y11" s="14">
        <v>5000</v>
      </c>
      <c r="AB11" s="7" t="s">
        <v>1181</v>
      </c>
      <c r="AF11" s="22" t="s">
        <v>3366</v>
      </c>
      <c r="AG11" s="7" t="s">
        <v>1188</v>
      </c>
      <c r="AI11" s="13"/>
      <c r="AJ11" s="7" t="s">
        <v>130</v>
      </c>
      <c r="AK11" s="7" t="s">
        <v>338</v>
      </c>
      <c r="BE11" s="7" t="s">
        <v>1175</v>
      </c>
      <c r="BH11" s="13"/>
      <c r="BI11" s="13"/>
      <c r="BL11" s="13"/>
      <c r="BM11" s="14"/>
      <c r="CB11" s="7" t="s">
        <v>334</v>
      </c>
    </row>
    <row r="12" spans="1:81" ht="76.5" x14ac:dyDescent="0.2">
      <c r="A12" s="6" t="s">
        <v>33</v>
      </c>
      <c r="B12" s="7" t="s">
        <v>251</v>
      </c>
      <c r="C12" s="7" t="s">
        <v>334</v>
      </c>
      <c r="F12" s="7" t="s">
        <v>1190</v>
      </c>
      <c r="G12" s="7" t="s">
        <v>1191</v>
      </c>
      <c r="H12" s="7" t="s">
        <v>1192</v>
      </c>
      <c r="I12" s="7" t="s">
        <v>1179</v>
      </c>
      <c r="S12" s="7" t="s">
        <v>1174</v>
      </c>
      <c r="T12" s="13"/>
      <c r="U12" s="13">
        <v>100</v>
      </c>
      <c r="V12" s="7" t="s">
        <v>251</v>
      </c>
      <c r="W12" s="7" t="s">
        <v>380</v>
      </c>
      <c r="X12" s="13"/>
      <c r="AA12" s="7" t="s">
        <v>3364</v>
      </c>
      <c r="AB12" s="7" t="s">
        <v>1181</v>
      </c>
      <c r="AF12" s="22" t="s">
        <v>3366</v>
      </c>
      <c r="AG12" s="7" t="s">
        <v>1188</v>
      </c>
      <c r="AI12" s="13"/>
      <c r="BE12" s="7" t="s">
        <v>1174</v>
      </c>
      <c r="BF12" s="7" t="s">
        <v>2916</v>
      </c>
      <c r="BG12" s="7" t="s">
        <v>1192</v>
      </c>
      <c r="BH12" s="13"/>
      <c r="BI12" s="13">
        <v>100</v>
      </c>
      <c r="BJ12" s="7" t="s">
        <v>251</v>
      </c>
      <c r="BK12" s="7" t="s">
        <v>341</v>
      </c>
      <c r="BL12" s="13">
        <v>5</v>
      </c>
      <c r="BM12" s="14"/>
      <c r="BP12" s="7" t="s">
        <v>1175</v>
      </c>
    </row>
    <row r="13" spans="1:81" ht="38.25" x14ac:dyDescent="0.2">
      <c r="A13" s="6" t="s">
        <v>55</v>
      </c>
      <c r="B13" s="7" t="s">
        <v>251</v>
      </c>
      <c r="C13" s="7" t="s">
        <v>334</v>
      </c>
      <c r="F13" s="7" t="s">
        <v>1176</v>
      </c>
      <c r="U13" s="13"/>
      <c r="X13" s="13"/>
      <c r="AI13" s="13"/>
      <c r="BE13" s="7" t="s">
        <v>1174</v>
      </c>
      <c r="BF13" s="7" t="s">
        <v>753</v>
      </c>
      <c r="BH13" s="13"/>
      <c r="BI13" s="13">
        <v>100</v>
      </c>
      <c r="BJ13" s="7" t="s">
        <v>251</v>
      </c>
      <c r="BK13" s="7" t="s">
        <v>341</v>
      </c>
      <c r="BL13" s="13">
        <v>5</v>
      </c>
      <c r="BM13" s="14"/>
      <c r="CB13" s="7" t="s">
        <v>334</v>
      </c>
    </row>
    <row r="14" spans="1:81" ht="38.25" x14ac:dyDescent="0.2">
      <c r="A14" s="6" t="s">
        <v>48</v>
      </c>
      <c r="B14" s="7" t="s">
        <v>251</v>
      </c>
      <c r="C14" s="7" t="s">
        <v>334</v>
      </c>
      <c r="F14" s="7" t="s">
        <v>1176</v>
      </c>
      <c r="U14" s="13"/>
      <c r="X14" s="13"/>
      <c r="AI14" s="13"/>
      <c r="BE14" s="7" t="s">
        <v>1177</v>
      </c>
      <c r="BF14" s="7" t="s">
        <v>2896</v>
      </c>
      <c r="BH14" s="13">
        <v>7</v>
      </c>
      <c r="BI14" s="13">
        <v>100</v>
      </c>
      <c r="BJ14" s="7" t="s">
        <v>251</v>
      </c>
      <c r="BK14" s="7" t="s">
        <v>341</v>
      </c>
      <c r="BL14" s="13">
        <v>7</v>
      </c>
      <c r="BM14" s="14"/>
      <c r="CB14" s="7" t="s">
        <v>334</v>
      </c>
    </row>
    <row r="15" spans="1:81" ht="51" x14ac:dyDescent="0.2">
      <c r="A15" s="6" t="s">
        <v>57</v>
      </c>
      <c r="B15" s="7" t="s">
        <v>251</v>
      </c>
      <c r="C15" s="7" t="s">
        <v>334</v>
      </c>
      <c r="F15" s="7" t="s">
        <v>1185</v>
      </c>
      <c r="U15" s="13"/>
      <c r="X15" s="13"/>
      <c r="AI15" s="13"/>
      <c r="BE15" s="7" t="s">
        <v>1174</v>
      </c>
      <c r="BF15" s="7" t="s">
        <v>2898</v>
      </c>
      <c r="BH15" s="13"/>
      <c r="BI15" s="13">
        <v>50</v>
      </c>
      <c r="BJ15" s="7" t="s">
        <v>251</v>
      </c>
      <c r="BK15" s="7" t="s">
        <v>341</v>
      </c>
      <c r="BL15" s="13">
        <v>4</v>
      </c>
      <c r="BM15" s="14"/>
      <c r="BP15" s="7" t="s">
        <v>1175</v>
      </c>
      <c r="CA15" s="7" t="s">
        <v>1195</v>
      </c>
      <c r="CB15" s="7" t="s">
        <v>334</v>
      </c>
    </row>
    <row r="16" spans="1:81" ht="38.25" x14ac:dyDescent="0.2">
      <c r="A16" s="6" t="s">
        <v>54</v>
      </c>
      <c r="B16" s="7" t="s">
        <v>251</v>
      </c>
      <c r="C16" s="7" t="s">
        <v>334</v>
      </c>
      <c r="F16" s="7" t="s">
        <v>1176</v>
      </c>
      <c r="U16" s="13"/>
      <c r="X16" s="13"/>
      <c r="AI16" s="13"/>
      <c r="BE16" s="7" t="s">
        <v>1174</v>
      </c>
      <c r="BF16" s="7" t="s">
        <v>2898</v>
      </c>
      <c r="BH16" s="13"/>
      <c r="BI16" s="13">
        <v>100</v>
      </c>
      <c r="BJ16" s="7" t="s">
        <v>251</v>
      </c>
      <c r="BK16" s="7" t="s">
        <v>341</v>
      </c>
      <c r="BL16" s="13">
        <v>4</v>
      </c>
      <c r="BM16" s="14"/>
      <c r="CB16" s="7" t="s">
        <v>334</v>
      </c>
    </row>
    <row r="17" spans="1:81" ht="38.25" x14ac:dyDescent="0.2">
      <c r="A17" s="6" t="s">
        <v>23</v>
      </c>
      <c r="B17" s="7" t="s">
        <v>251</v>
      </c>
      <c r="C17" s="7" t="s">
        <v>334</v>
      </c>
      <c r="F17" s="7" t="s">
        <v>1178</v>
      </c>
      <c r="G17" s="7" t="s">
        <v>753</v>
      </c>
      <c r="I17" s="7" t="s">
        <v>1179</v>
      </c>
      <c r="S17" s="7" t="s">
        <v>1180</v>
      </c>
      <c r="T17" s="13">
        <v>1</v>
      </c>
      <c r="U17" s="13"/>
      <c r="X17" s="13"/>
      <c r="AB17" s="7" t="s">
        <v>1181</v>
      </c>
      <c r="AI17" s="13"/>
      <c r="AJ17" s="7" t="s">
        <v>344</v>
      </c>
      <c r="BH17" s="13"/>
      <c r="BI17" s="13"/>
      <c r="BL17" s="13"/>
      <c r="BM17" s="14"/>
      <c r="CB17" s="7" t="s">
        <v>251</v>
      </c>
      <c r="CC17" s="7" t="s">
        <v>1182</v>
      </c>
    </row>
    <row r="18" spans="1:81" ht="38.25" x14ac:dyDescent="0.2">
      <c r="A18" s="6" t="s">
        <v>27</v>
      </c>
      <c r="B18" s="7" t="s">
        <v>251</v>
      </c>
      <c r="C18" s="7" t="s">
        <v>334</v>
      </c>
      <c r="F18" s="7" t="s">
        <v>1184</v>
      </c>
      <c r="T18" s="13"/>
      <c r="U18" s="13"/>
      <c r="X18" s="13"/>
      <c r="AI18" s="13"/>
      <c r="BE18" s="7" t="s">
        <v>1174</v>
      </c>
      <c r="BF18" s="7" t="s">
        <v>2898</v>
      </c>
      <c r="BH18" s="13"/>
      <c r="BI18" s="13">
        <v>6</v>
      </c>
      <c r="BJ18" s="7" t="s">
        <v>251</v>
      </c>
      <c r="BK18" s="7" t="s">
        <v>396</v>
      </c>
      <c r="BL18" s="13"/>
      <c r="BM18" s="14">
        <v>15390</v>
      </c>
      <c r="CB18" s="7" t="s">
        <v>334</v>
      </c>
    </row>
    <row r="19" spans="1:81" ht="63.75" x14ac:dyDescent="0.2">
      <c r="A19" s="6" t="s">
        <v>63</v>
      </c>
      <c r="B19" s="7" t="s">
        <v>251</v>
      </c>
      <c r="C19" s="7" t="s">
        <v>358</v>
      </c>
      <c r="D19" s="7">
        <v>90</v>
      </c>
      <c r="F19" s="7" t="s">
        <v>1184</v>
      </c>
      <c r="U19" s="13"/>
      <c r="X19" s="13"/>
      <c r="AI19" s="13"/>
      <c r="BE19" s="7" t="s">
        <v>1175</v>
      </c>
      <c r="BH19" s="13"/>
      <c r="BI19" s="13"/>
      <c r="BL19" s="13"/>
      <c r="BM19" s="14"/>
      <c r="CA19" s="7" t="s">
        <v>1196</v>
      </c>
      <c r="CB19" s="7" t="s">
        <v>334</v>
      </c>
    </row>
    <row r="20" spans="1:81" ht="38.25" x14ac:dyDescent="0.2">
      <c r="A20" s="6" t="s">
        <v>25</v>
      </c>
      <c r="B20" s="7" t="s">
        <v>251</v>
      </c>
      <c r="C20" s="7" t="s">
        <v>334</v>
      </c>
      <c r="F20" s="7" t="s">
        <v>1176</v>
      </c>
      <c r="T20" s="13"/>
      <c r="U20" s="13"/>
      <c r="X20" s="13"/>
      <c r="AI20" s="13"/>
      <c r="BE20" s="7" t="s">
        <v>1174</v>
      </c>
      <c r="BF20" s="7" t="s">
        <v>2898</v>
      </c>
      <c r="BH20" s="13"/>
      <c r="BI20" s="13">
        <v>100</v>
      </c>
      <c r="BJ20" s="7" t="s">
        <v>251</v>
      </c>
      <c r="BK20" s="7" t="s">
        <v>341</v>
      </c>
      <c r="BL20" s="13">
        <v>5</v>
      </c>
      <c r="BM20" s="14"/>
      <c r="CB20" s="7" t="s">
        <v>334</v>
      </c>
    </row>
    <row r="21" spans="1:81" ht="38.25" x14ac:dyDescent="0.2">
      <c r="A21" s="6" t="s">
        <v>26</v>
      </c>
      <c r="B21" s="7" t="s">
        <v>251</v>
      </c>
      <c r="C21" s="7" t="s">
        <v>334</v>
      </c>
      <c r="F21" s="7" t="s">
        <v>1176</v>
      </c>
      <c r="T21" s="13"/>
      <c r="U21" s="13"/>
      <c r="X21" s="13"/>
      <c r="AI21" s="13"/>
      <c r="BE21" s="7" t="s">
        <v>380</v>
      </c>
      <c r="BF21" s="7" t="s">
        <v>2900</v>
      </c>
      <c r="BH21" s="13"/>
      <c r="BI21" s="13"/>
      <c r="BL21" s="13"/>
      <c r="BM21" s="14"/>
      <c r="BO21" s="7" t="s">
        <v>1183</v>
      </c>
      <c r="CB21" s="7" t="s">
        <v>334</v>
      </c>
    </row>
    <row r="22" spans="1:81" ht="38.25" x14ac:dyDescent="0.2">
      <c r="A22" s="6" t="s">
        <v>20</v>
      </c>
      <c r="B22" s="7" t="s">
        <v>251</v>
      </c>
      <c r="C22" s="7" t="s">
        <v>334</v>
      </c>
      <c r="F22" s="7" t="s">
        <v>1173</v>
      </c>
      <c r="T22" s="13"/>
      <c r="U22" s="13"/>
      <c r="X22" s="13"/>
      <c r="AI22" s="13"/>
      <c r="BE22" s="7" t="s">
        <v>1174</v>
      </c>
      <c r="BF22" s="7" t="s">
        <v>753</v>
      </c>
      <c r="BH22" s="13"/>
      <c r="BI22" s="13">
        <v>75</v>
      </c>
      <c r="BJ22" s="7" t="s">
        <v>251</v>
      </c>
      <c r="BK22" s="7" t="s">
        <v>396</v>
      </c>
      <c r="BL22" s="13"/>
      <c r="BM22" s="14">
        <v>3000</v>
      </c>
      <c r="BP22" s="7" t="s">
        <v>1175</v>
      </c>
      <c r="CB22" s="7" t="s">
        <v>334</v>
      </c>
    </row>
    <row r="23" spans="1:81" ht="38.25" x14ac:dyDescent="0.2">
      <c r="A23" s="6" t="s">
        <v>70</v>
      </c>
      <c r="B23" s="7" t="s">
        <v>251</v>
      </c>
      <c r="C23" s="7" t="s">
        <v>334</v>
      </c>
      <c r="F23" s="7" t="s">
        <v>1176</v>
      </c>
      <c r="U23" s="13"/>
      <c r="X23" s="13"/>
      <c r="AI23" s="13"/>
      <c r="BE23" s="7" t="s">
        <v>1174</v>
      </c>
      <c r="BF23" s="7" t="s">
        <v>2899</v>
      </c>
      <c r="BH23" s="13"/>
      <c r="BI23" s="13">
        <v>50</v>
      </c>
      <c r="BJ23" s="7" t="s">
        <v>251</v>
      </c>
      <c r="BK23" s="7" t="s">
        <v>341</v>
      </c>
      <c r="BL23" s="13">
        <v>6</v>
      </c>
      <c r="CB23" s="7" t="s">
        <v>334</v>
      </c>
    </row>
    <row r="24" spans="1:81" x14ac:dyDescent="0.2">
      <c r="A24" s="6" t="s">
        <v>14</v>
      </c>
      <c r="B24" s="7" t="s">
        <v>334</v>
      </c>
      <c r="T24" s="13"/>
      <c r="U24" s="13"/>
      <c r="X24" s="13"/>
      <c r="AI24" s="13"/>
      <c r="BH24" s="13"/>
      <c r="BI24" s="13"/>
      <c r="BL24" s="13"/>
      <c r="BM24" s="14"/>
    </row>
    <row r="25" spans="1:81" ht="38.25" x14ac:dyDescent="0.2">
      <c r="A25" s="6" t="s">
        <v>24</v>
      </c>
      <c r="B25" s="7" t="s">
        <v>251</v>
      </c>
      <c r="C25" s="7" t="s">
        <v>334</v>
      </c>
      <c r="F25" s="7" t="s">
        <v>1176</v>
      </c>
      <c r="T25" s="13"/>
      <c r="U25" s="13"/>
      <c r="X25" s="13"/>
      <c r="AI25" s="13"/>
      <c r="BE25" s="7" t="s">
        <v>1174</v>
      </c>
      <c r="BF25" s="7" t="s">
        <v>2899</v>
      </c>
      <c r="BH25" s="13"/>
      <c r="BI25" s="13">
        <v>4</v>
      </c>
      <c r="BJ25" s="7" t="s">
        <v>251</v>
      </c>
      <c r="BK25" s="7" t="s">
        <v>396</v>
      </c>
      <c r="BL25" s="13"/>
      <c r="BM25" s="14">
        <v>14605</v>
      </c>
      <c r="CB25" s="7" t="s">
        <v>334</v>
      </c>
    </row>
    <row r="26" spans="1:81" ht="38.25" x14ac:dyDescent="0.2">
      <c r="A26" s="6" t="s">
        <v>37</v>
      </c>
      <c r="B26" s="7" t="s">
        <v>251</v>
      </c>
      <c r="C26" s="7" t="s">
        <v>358</v>
      </c>
      <c r="D26" s="7">
        <v>365</v>
      </c>
      <c r="F26" s="7" t="s">
        <v>1178</v>
      </c>
      <c r="G26" s="7" t="s">
        <v>770</v>
      </c>
      <c r="I26" s="7" t="s">
        <v>1179</v>
      </c>
      <c r="S26" s="7" t="s">
        <v>1180</v>
      </c>
      <c r="T26" s="13">
        <v>3</v>
      </c>
      <c r="U26" s="13"/>
      <c r="X26" s="13"/>
      <c r="AB26" s="7" t="s">
        <v>1181</v>
      </c>
      <c r="AF26" s="22" t="s">
        <v>3366</v>
      </c>
      <c r="AG26" s="7" t="s">
        <v>1188</v>
      </c>
      <c r="AI26" s="13">
        <v>60</v>
      </c>
      <c r="AJ26" s="7" t="s">
        <v>344</v>
      </c>
      <c r="BH26" s="13"/>
      <c r="BI26" s="13"/>
      <c r="BL26" s="13"/>
      <c r="BM26" s="14"/>
      <c r="CB26" s="7" t="s">
        <v>334</v>
      </c>
    </row>
    <row r="27" spans="1:81" ht="38.25" x14ac:dyDescent="0.2">
      <c r="A27" s="6" t="s">
        <v>13</v>
      </c>
      <c r="B27" s="7" t="s">
        <v>251</v>
      </c>
      <c r="C27" s="7" t="s">
        <v>334</v>
      </c>
      <c r="F27" s="7" t="s">
        <v>1176</v>
      </c>
      <c r="T27" s="13"/>
      <c r="U27" s="13"/>
      <c r="X27" s="13"/>
      <c r="AI27" s="13"/>
      <c r="BE27" s="7" t="s">
        <v>1177</v>
      </c>
      <c r="BF27" s="7" t="s">
        <v>2896</v>
      </c>
      <c r="BH27" s="13">
        <v>3</v>
      </c>
      <c r="BI27" s="13">
        <v>100</v>
      </c>
      <c r="BJ27" s="7" t="s">
        <v>251</v>
      </c>
      <c r="BK27" s="7" t="s">
        <v>341</v>
      </c>
      <c r="BL27" s="13">
        <v>3</v>
      </c>
      <c r="BM27" s="14"/>
      <c r="CB27" s="7" t="s">
        <v>334</v>
      </c>
    </row>
    <row r="28" spans="1:81" ht="38.25" x14ac:dyDescent="0.2">
      <c r="A28" s="6" t="s">
        <v>35</v>
      </c>
      <c r="B28" s="7" t="s">
        <v>251</v>
      </c>
      <c r="C28" s="7" t="s">
        <v>334</v>
      </c>
      <c r="F28" s="7" t="s">
        <v>1176</v>
      </c>
      <c r="T28" s="13"/>
      <c r="U28" s="13"/>
      <c r="X28" s="13"/>
      <c r="AI28" s="13"/>
      <c r="BE28" s="7" t="s">
        <v>1174</v>
      </c>
      <c r="BF28" s="7" t="s">
        <v>2896</v>
      </c>
      <c r="BH28" s="13"/>
      <c r="BI28" s="13">
        <v>1.25</v>
      </c>
      <c r="BJ28" s="7" t="s">
        <v>251</v>
      </c>
      <c r="BK28" s="7" t="s">
        <v>396</v>
      </c>
      <c r="BL28" s="13"/>
      <c r="BM28" s="14">
        <v>10000</v>
      </c>
      <c r="CB28" s="7" t="s">
        <v>334</v>
      </c>
    </row>
    <row r="29" spans="1:81" ht="38.25" x14ac:dyDescent="0.2">
      <c r="A29" s="6" t="s">
        <v>67</v>
      </c>
      <c r="B29" s="7" t="s">
        <v>251</v>
      </c>
      <c r="C29" s="7" t="s">
        <v>334</v>
      </c>
      <c r="F29" s="7" t="s">
        <v>1176</v>
      </c>
      <c r="U29" s="13"/>
      <c r="X29" s="13"/>
      <c r="AI29" s="13"/>
      <c r="BE29" s="7" t="s">
        <v>1174</v>
      </c>
      <c r="BF29" s="7" t="s">
        <v>2899</v>
      </c>
      <c r="BH29" s="13"/>
      <c r="BI29" s="13">
        <v>5</v>
      </c>
      <c r="BJ29" s="7" t="s">
        <v>251</v>
      </c>
      <c r="BK29" s="7" t="s">
        <v>396</v>
      </c>
      <c r="BL29" s="13"/>
      <c r="BM29" s="14">
        <v>9000</v>
      </c>
      <c r="CB29" s="7" t="s">
        <v>334</v>
      </c>
    </row>
    <row r="30" spans="1:81" ht="38.25" x14ac:dyDescent="0.2">
      <c r="A30" s="6" t="s">
        <v>49</v>
      </c>
      <c r="B30" s="7" t="s">
        <v>251</v>
      </c>
      <c r="C30" s="7" t="s">
        <v>334</v>
      </c>
      <c r="F30" s="7" t="s">
        <v>1176</v>
      </c>
      <c r="U30" s="13"/>
      <c r="X30" s="13"/>
      <c r="AI30" s="13"/>
      <c r="BE30" s="7" t="s">
        <v>1174</v>
      </c>
      <c r="BF30" s="7" t="s">
        <v>2903</v>
      </c>
      <c r="BH30" s="13"/>
      <c r="BI30" s="13">
        <v>100</v>
      </c>
      <c r="BJ30" s="7" t="s">
        <v>251</v>
      </c>
      <c r="BK30" s="7" t="s">
        <v>396</v>
      </c>
      <c r="BL30" s="13"/>
      <c r="BM30" s="14">
        <v>6000</v>
      </c>
      <c r="CB30" s="7" t="s">
        <v>334</v>
      </c>
    </row>
    <row r="31" spans="1:81" ht="38.25" x14ac:dyDescent="0.2">
      <c r="A31" s="6" t="s">
        <v>68</v>
      </c>
      <c r="B31" s="7" t="s">
        <v>251</v>
      </c>
      <c r="C31" s="7" t="s">
        <v>334</v>
      </c>
      <c r="F31" s="7" t="s">
        <v>1176</v>
      </c>
      <c r="U31" s="13"/>
      <c r="X31" s="13"/>
      <c r="AI31" s="13"/>
      <c r="BE31" s="7" t="s">
        <v>1174</v>
      </c>
      <c r="BF31" s="7" t="s">
        <v>753</v>
      </c>
      <c r="BH31" s="13"/>
      <c r="BI31" s="13">
        <v>100</v>
      </c>
      <c r="BJ31" s="7" t="s">
        <v>251</v>
      </c>
      <c r="BK31" s="7" t="s">
        <v>341</v>
      </c>
      <c r="BL31" s="13">
        <v>6</v>
      </c>
      <c r="BM31" s="14"/>
      <c r="CB31" s="7" t="s">
        <v>334</v>
      </c>
    </row>
    <row r="32" spans="1:81" ht="38.25" x14ac:dyDescent="0.2">
      <c r="A32" s="6" t="s">
        <v>11</v>
      </c>
      <c r="B32" s="7" t="s">
        <v>251</v>
      </c>
      <c r="C32" s="7" t="s">
        <v>334</v>
      </c>
      <c r="F32" s="7" t="s">
        <v>1173</v>
      </c>
      <c r="T32" s="13"/>
      <c r="U32" s="13"/>
      <c r="X32" s="13"/>
      <c r="AI32" s="13"/>
      <c r="BE32" s="7" t="s">
        <v>1174</v>
      </c>
      <c r="BF32" s="7" t="s">
        <v>2898</v>
      </c>
      <c r="BH32" s="13"/>
      <c r="BI32" s="13"/>
      <c r="BJ32" s="7" t="s">
        <v>251</v>
      </c>
      <c r="BK32" s="7" t="s">
        <v>380</v>
      </c>
      <c r="BL32" s="13"/>
      <c r="BM32" s="14"/>
      <c r="BP32" s="7" t="s">
        <v>1175</v>
      </c>
      <c r="CB32" s="7" t="s">
        <v>334</v>
      </c>
    </row>
    <row r="33" spans="1:80" ht="38.25" x14ac:dyDescent="0.2">
      <c r="A33" s="6" t="s">
        <v>50</v>
      </c>
      <c r="B33" s="7" t="s">
        <v>251</v>
      </c>
      <c r="C33" s="7" t="s">
        <v>334</v>
      </c>
      <c r="F33" s="7" t="s">
        <v>1173</v>
      </c>
      <c r="U33" s="13"/>
      <c r="X33" s="13"/>
      <c r="AI33" s="13"/>
      <c r="BE33" s="7" t="s">
        <v>1174</v>
      </c>
      <c r="BF33" s="7" t="s">
        <v>753</v>
      </c>
      <c r="BH33" s="13"/>
      <c r="BI33" s="13">
        <v>100</v>
      </c>
      <c r="BJ33" s="7" t="s">
        <v>251</v>
      </c>
      <c r="BK33" s="7" t="s">
        <v>341</v>
      </c>
      <c r="BL33" s="13">
        <v>7</v>
      </c>
      <c r="BM33" s="14"/>
      <c r="BP33" s="7" t="s">
        <v>1175</v>
      </c>
      <c r="CB33" s="7" t="s">
        <v>334</v>
      </c>
    </row>
    <row r="34" spans="1:80" ht="38.25" x14ac:dyDescent="0.2">
      <c r="A34" s="6" t="s">
        <v>71</v>
      </c>
      <c r="B34" s="7" t="s">
        <v>251</v>
      </c>
      <c r="C34" s="7" t="s">
        <v>334</v>
      </c>
      <c r="F34" s="7" t="s">
        <v>1187</v>
      </c>
      <c r="G34" s="7" t="s">
        <v>777</v>
      </c>
      <c r="I34" s="7" t="s">
        <v>1179</v>
      </c>
      <c r="S34" s="7" t="s">
        <v>1174</v>
      </c>
      <c r="U34" s="13">
        <v>50</v>
      </c>
      <c r="V34" s="7" t="s">
        <v>251</v>
      </c>
      <c r="W34" s="7" t="s">
        <v>341</v>
      </c>
      <c r="X34" s="13">
        <v>6</v>
      </c>
      <c r="AB34" s="7" t="s">
        <v>1181</v>
      </c>
      <c r="AF34" s="7" t="s">
        <v>1193</v>
      </c>
      <c r="AG34" s="7" t="s">
        <v>1188</v>
      </c>
      <c r="AI34" s="13">
        <v>57</v>
      </c>
      <c r="AJ34" s="7" t="s">
        <v>344</v>
      </c>
      <c r="BE34" s="7" t="s">
        <v>1175</v>
      </c>
      <c r="BH34" s="13"/>
      <c r="BI34" s="13"/>
      <c r="CB34" s="7" t="s">
        <v>334</v>
      </c>
    </row>
    <row r="35" spans="1:80" ht="25.5" x14ac:dyDescent="0.2">
      <c r="A35" s="6" t="s">
        <v>65</v>
      </c>
      <c r="B35" s="7" t="s">
        <v>251</v>
      </c>
      <c r="C35" s="7" t="s">
        <v>334</v>
      </c>
      <c r="F35" s="7" t="s">
        <v>1176</v>
      </c>
      <c r="U35" s="13"/>
      <c r="X35" s="13"/>
      <c r="AI35" s="13"/>
      <c r="BE35" s="7" t="s">
        <v>1175</v>
      </c>
      <c r="BH35" s="13"/>
      <c r="BI35" s="13"/>
      <c r="BL35" s="13"/>
      <c r="BM35" s="14"/>
      <c r="CB35" s="7" t="s">
        <v>334</v>
      </c>
    </row>
    <row r="36" spans="1:80" ht="38.25" x14ac:dyDescent="0.2">
      <c r="A36" s="6" t="s">
        <v>59</v>
      </c>
      <c r="B36" s="7" t="s">
        <v>251</v>
      </c>
      <c r="C36" s="7" t="s">
        <v>334</v>
      </c>
      <c r="F36" s="7" t="s">
        <v>1176</v>
      </c>
      <c r="U36" s="13"/>
      <c r="X36" s="13"/>
      <c r="AI36" s="13"/>
      <c r="BE36" s="7" t="s">
        <v>1174</v>
      </c>
      <c r="BF36" s="7" t="s">
        <v>2899</v>
      </c>
      <c r="BH36" s="13"/>
      <c r="BI36" s="13">
        <v>100</v>
      </c>
      <c r="BJ36" s="7" t="s">
        <v>251</v>
      </c>
      <c r="BK36" s="7" t="s">
        <v>341</v>
      </c>
      <c r="BL36" s="13">
        <v>5</v>
      </c>
      <c r="BM36" s="14"/>
      <c r="CB36" s="7" t="s">
        <v>334</v>
      </c>
    </row>
    <row r="37" spans="1:80" ht="38.25" x14ac:dyDescent="0.2">
      <c r="A37" s="6" t="s">
        <v>36</v>
      </c>
      <c r="B37" s="7" t="s">
        <v>251</v>
      </c>
      <c r="C37" s="7" t="s">
        <v>334</v>
      </c>
      <c r="F37" s="7" t="s">
        <v>1176</v>
      </c>
      <c r="T37" s="13"/>
      <c r="U37" s="13"/>
      <c r="X37" s="13"/>
      <c r="AI37" s="13"/>
      <c r="BE37" s="7" t="s">
        <v>1174</v>
      </c>
      <c r="BF37" s="7" t="s">
        <v>2898</v>
      </c>
      <c r="BH37" s="13"/>
      <c r="BI37" s="13">
        <v>30</v>
      </c>
      <c r="BJ37" s="7" t="s">
        <v>251</v>
      </c>
      <c r="BK37" s="7" t="s">
        <v>380</v>
      </c>
      <c r="BL37" s="13">
        <v>50</v>
      </c>
      <c r="BM37" s="14"/>
      <c r="CB37" s="7" t="s">
        <v>334</v>
      </c>
    </row>
    <row r="38" spans="1:80" ht="38.25" x14ac:dyDescent="0.2">
      <c r="A38" s="6" t="s">
        <v>28</v>
      </c>
      <c r="B38" s="7" t="s">
        <v>251</v>
      </c>
      <c r="C38" s="7" t="s">
        <v>334</v>
      </c>
      <c r="F38" s="7" t="s">
        <v>1176</v>
      </c>
      <c r="T38" s="13"/>
      <c r="U38" s="13"/>
      <c r="X38" s="13"/>
      <c r="AI38" s="13"/>
      <c r="BE38" s="7" t="s">
        <v>1174</v>
      </c>
      <c r="BF38" s="7" t="s">
        <v>2901</v>
      </c>
      <c r="BH38" s="13"/>
      <c r="BI38" s="13">
        <v>100</v>
      </c>
      <c r="BJ38" s="7" t="s">
        <v>251</v>
      </c>
      <c r="BK38" s="7" t="s">
        <v>341</v>
      </c>
      <c r="BL38" s="13">
        <v>4</v>
      </c>
      <c r="BM38" s="14"/>
      <c r="CB38" s="7" t="s">
        <v>334</v>
      </c>
    </row>
    <row r="39" spans="1:80" ht="38.25" x14ac:dyDescent="0.2">
      <c r="A39" s="6" t="s">
        <v>52</v>
      </c>
      <c r="B39" s="7" t="s">
        <v>251</v>
      </c>
      <c r="C39" s="7" t="s">
        <v>334</v>
      </c>
      <c r="F39" s="7" t="s">
        <v>1176</v>
      </c>
      <c r="U39" s="13"/>
      <c r="X39" s="13"/>
      <c r="AI39" s="13"/>
      <c r="BE39" s="7" t="s">
        <v>1174</v>
      </c>
      <c r="BF39" s="7" t="s">
        <v>753</v>
      </c>
      <c r="BH39" s="13"/>
      <c r="BI39" s="13">
        <v>100</v>
      </c>
      <c r="BJ39" s="7" t="s">
        <v>251</v>
      </c>
      <c r="BK39" s="7" t="s">
        <v>341</v>
      </c>
      <c r="BL39" s="13">
        <v>4</v>
      </c>
      <c r="BM39" s="14"/>
      <c r="CB39" s="7" t="s">
        <v>334</v>
      </c>
    </row>
    <row r="40" spans="1:80" x14ac:dyDescent="0.2">
      <c r="A40" s="6" t="s">
        <v>19</v>
      </c>
      <c r="B40" s="7" t="s">
        <v>334</v>
      </c>
      <c r="T40" s="13"/>
      <c r="U40" s="13"/>
      <c r="X40" s="13"/>
      <c r="AI40" s="13"/>
      <c r="BH40" s="13"/>
      <c r="BI40" s="13"/>
      <c r="BL40" s="13"/>
      <c r="BM40" s="14"/>
    </row>
    <row r="41" spans="1:80" ht="38.25" x14ac:dyDescent="0.2">
      <c r="A41" s="6" t="s">
        <v>51</v>
      </c>
      <c r="B41" s="7" t="s">
        <v>251</v>
      </c>
      <c r="C41" s="7" t="s">
        <v>334</v>
      </c>
      <c r="F41" s="7" t="s">
        <v>1173</v>
      </c>
      <c r="U41" s="13"/>
      <c r="X41" s="13"/>
      <c r="AI41" s="13"/>
      <c r="BE41" s="7" t="s">
        <v>1174</v>
      </c>
      <c r="BF41" s="7" t="s">
        <v>753</v>
      </c>
      <c r="BH41" s="13"/>
      <c r="BI41" s="13">
        <v>100</v>
      </c>
      <c r="BJ41" s="7" t="s">
        <v>251</v>
      </c>
      <c r="BK41" s="7" t="s">
        <v>341</v>
      </c>
      <c r="BL41" s="13">
        <v>6</v>
      </c>
      <c r="BM41" s="14"/>
      <c r="BP41" s="7" t="s">
        <v>1175</v>
      </c>
      <c r="CB41" s="7" t="s">
        <v>334</v>
      </c>
    </row>
    <row r="42" spans="1:80" ht="38.25" x14ac:dyDescent="0.2">
      <c r="A42" s="6" t="s">
        <v>47</v>
      </c>
      <c r="B42" s="7" t="s">
        <v>251</v>
      </c>
      <c r="C42" s="7" t="s">
        <v>334</v>
      </c>
      <c r="F42" s="7" t="s">
        <v>1176</v>
      </c>
      <c r="U42" s="13"/>
      <c r="X42" s="13"/>
      <c r="AI42" s="13"/>
      <c r="BE42" s="7" t="s">
        <v>1174</v>
      </c>
      <c r="BF42" s="7" t="s">
        <v>2898</v>
      </c>
      <c r="BH42" s="13"/>
      <c r="BI42" s="13">
        <v>100</v>
      </c>
      <c r="BJ42" s="7" t="s">
        <v>251</v>
      </c>
      <c r="BK42" s="7" t="s">
        <v>341</v>
      </c>
      <c r="BL42" s="13">
        <v>5</v>
      </c>
      <c r="BM42" s="14"/>
      <c r="CB42" s="7" t="s">
        <v>334</v>
      </c>
    </row>
    <row r="43" spans="1:80" ht="38.25" x14ac:dyDescent="0.2">
      <c r="A43" s="6" t="s">
        <v>56</v>
      </c>
      <c r="B43" s="7" t="s">
        <v>251</v>
      </c>
      <c r="C43" s="7" t="s">
        <v>334</v>
      </c>
      <c r="F43" s="7" t="s">
        <v>1176</v>
      </c>
      <c r="U43" s="13"/>
      <c r="X43" s="13"/>
      <c r="AI43" s="13"/>
      <c r="BE43" s="7" t="s">
        <v>1174</v>
      </c>
      <c r="BF43" s="7" t="s">
        <v>2899</v>
      </c>
      <c r="BH43" s="13"/>
      <c r="BI43" s="13">
        <v>100</v>
      </c>
      <c r="BJ43" s="7" t="s">
        <v>251</v>
      </c>
      <c r="BK43" s="7" t="s">
        <v>396</v>
      </c>
      <c r="BL43" s="13"/>
      <c r="BM43" s="14">
        <v>5000</v>
      </c>
      <c r="CB43" s="7" t="s">
        <v>334</v>
      </c>
    </row>
    <row r="44" spans="1:80" ht="38.25" x14ac:dyDescent="0.2">
      <c r="A44" s="6" t="s">
        <v>62</v>
      </c>
      <c r="B44" s="7" t="s">
        <v>251</v>
      </c>
      <c r="C44" s="7" t="s">
        <v>334</v>
      </c>
      <c r="F44" s="7" t="s">
        <v>1176</v>
      </c>
      <c r="U44" s="13"/>
      <c r="X44" s="13"/>
      <c r="AI44" s="13"/>
      <c r="BE44" s="7" t="s">
        <v>1174</v>
      </c>
      <c r="BH44" s="13"/>
      <c r="BI44" s="13"/>
      <c r="BJ44" s="7" t="s">
        <v>251</v>
      </c>
      <c r="BK44" s="7" t="s">
        <v>396</v>
      </c>
      <c r="BL44" s="13"/>
      <c r="BM44" s="14">
        <v>4000</v>
      </c>
      <c r="CB44" s="7" t="s">
        <v>334</v>
      </c>
    </row>
    <row r="45" spans="1:80" ht="38.25" x14ac:dyDescent="0.2">
      <c r="A45" s="6" t="s">
        <v>21</v>
      </c>
      <c r="B45" s="7" t="s">
        <v>251</v>
      </c>
      <c r="C45" s="7" t="s">
        <v>334</v>
      </c>
      <c r="F45" s="7" t="s">
        <v>1176</v>
      </c>
      <c r="T45" s="13"/>
      <c r="U45" s="13"/>
      <c r="X45" s="13"/>
      <c r="AI45" s="13"/>
      <c r="BE45" s="7" t="s">
        <v>1174</v>
      </c>
      <c r="BF45" s="7" t="s">
        <v>753</v>
      </c>
      <c r="BH45" s="13"/>
      <c r="BI45" s="13">
        <v>50</v>
      </c>
      <c r="BJ45" s="7" t="s">
        <v>251</v>
      </c>
      <c r="BK45" s="7" t="s">
        <v>396</v>
      </c>
      <c r="BL45" s="13"/>
      <c r="BM45" s="14">
        <v>6300</v>
      </c>
      <c r="CB45" s="7" t="s">
        <v>334</v>
      </c>
    </row>
    <row r="46" spans="1:80" x14ac:dyDescent="0.2">
      <c r="A46" s="6" t="s">
        <v>12</v>
      </c>
      <c r="B46" s="7" t="s">
        <v>334</v>
      </c>
      <c r="T46" s="13"/>
      <c r="U46" s="13"/>
      <c r="X46" s="13"/>
      <c r="AI46" s="13"/>
      <c r="BH46" s="13"/>
      <c r="BI46" s="13"/>
      <c r="BL46" s="13"/>
      <c r="BM46" s="14"/>
    </row>
    <row r="47" spans="1:80" ht="51" x14ac:dyDescent="0.2">
      <c r="A47" s="6" t="s">
        <v>64</v>
      </c>
      <c r="B47" s="7" t="s">
        <v>251</v>
      </c>
      <c r="C47" s="7" t="s">
        <v>334</v>
      </c>
      <c r="F47" s="7" t="s">
        <v>1185</v>
      </c>
      <c r="U47" s="13"/>
      <c r="X47" s="13"/>
      <c r="AI47" s="13"/>
      <c r="BE47" s="7" t="s">
        <v>380</v>
      </c>
      <c r="BF47" s="7" t="s">
        <v>753</v>
      </c>
      <c r="BH47" s="13"/>
      <c r="BI47" s="13"/>
      <c r="BL47" s="13"/>
      <c r="BM47" s="14"/>
      <c r="BO47" s="7" t="s">
        <v>1197</v>
      </c>
      <c r="BP47" s="7" t="s">
        <v>1175</v>
      </c>
      <c r="CA47" s="7" t="s">
        <v>1198</v>
      </c>
      <c r="CB47" s="7" t="s">
        <v>334</v>
      </c>
    </row>
    <row r="48" spans="1:80" ht="38.25" x14ac:dyDescent="0.2">
      <c r="A48" s="6" t="s">
        <v>38</v>
      </c>
      <c r="B48" s="7" t="s">
        <v>251</v>
      </c>
      <c r="C48" s="7" t="s">
        <v>334</v>
      </c>
      <c r="F48" s="7" t="s">
        <v>1187</v>
      </c>
      <c r="G48" s="7" t="s">
        <v>777</v>
      </c>
      <c r="I48" s="7" t="s">
        <v>1179</v>
      </c>
      <c r="S48" s="7" t="s">
        <v>1177</v>
      </c>
      <c r="T48" s="13">
        <v>4</v>
      </c>
      <c r="U48" s="13">
        <v>50</v>
      </c>
      <c r="V48" s="7" t="s">
        <v>251</v>
      </c>
      <c r="W48" s="7" t="s">
        <v>341</v>
      </c>
      <c r="X48" s="13">
        <v>2</v>
      </c>
      <c r="AB48" s="7" t="s">
        <v>1181</v>
      </c>
      <c r="AF48" s="7" t="s">
        <v>1193</v>
      </c>
      <c r="AG48" s="7" t="s">
        <v>1188</v>
      </c>
      <c r="AI48" s="13">
        <v>58</v>
      </c>
      <c r="AJ48" s="7" t="s">
        <v>344</v>
      </c>
      <c r="BE48" s="7" t="s">
        <v>1175</v>
      </c>
      <c r="BH48" s="13"/>
      <c r="BI48" s="13"/>
      <c r="BL48" s="13"/>
      <c r="BM48" s="14"/>
      <c r="CB48" s="7" t="s">
        <v>334</v>
      </c>
    </row>
    <row r="49" spans="1:81" ht="38.25" x14ac:dyDescent="0.2">
      <c r="A49" s="6" t="s">
        <v>41</v>
      </c>
      <c r="B49" s="7" t="s">
        <v>251</v>
      </c>
      <c r="C49" s="7" t="s">
        <v>334</v>
      </c>
      <c r="F49" s="7" t="s">
        <v>1173</v>
      </c>
      <c r="U49" s="13"/>
      <c r="X49" s="13"/>
      <c r="AI49" s="13"/>
      <c r="BE49" s="7" t="s">
        <v>1175</v>
      </c>
      <c r="BH49" s="13"/>
      <c r="BI49" s="13"/>
      <c r="BL49" s="13"/>
      <c r="BM49" s="14"/>
      <c r="BP49" s="7" t="s">
        <v>1175</v>
      </c>
      <c r="CB49" s="7" t="s">
        <v>334</v>
      </c>
    </row>
    <row r="50" spans="1:81" ht="191.25" x14ac:dyDescent="0.2">
      <c r="A50" s="6" t="s">
        <v>29</v>
      </c>
      <c r="B50" s="7" t="s">
        <v>251</v>
      </c>
      <c r="C50" s="7" t="s">
        <v>334</v>
      </c>
      <c r="F50" s="7" t="s">
        <v>1185</v>
      </c>
      <c r="T50" s="13"/>
      <c r="U50" s="13"/>
      <c r="X50" s="13"/>
      <c r="AI50" s="13"/>
      <c r="BE50" s="7" t="s">
        <v>380</v>
      </c>
      <c r="BF50" s="7" t="s">
        <v>2914</v>
      </c>
      <c r="BH50" s="13"/>
      <c r="BI50" s="13"/>
      <c r="BL50" s="13"/>
      <c r="BM50" s="14"/>
      <c r="BO50" s="7" t="s">
        <v>3367</v>
      </c>
      <c r="BP50" s="7" t="s">
        <v>1175</v>
      </c>
      <c r="CA50" s="7" t="s">
        <v>3368</v>
      </c>
      <c r="CB50" s="7" t="s">
        <v>334</v>
      </c>
    </row>
    <row r="51" spans="1:81" ht="38.25" x14ac:dyDescent="0.2">
      <c r="A51" s="6" t="s">
        <v>17</v>
      </c>
      <c r="B51" s="7" t="s">
        <v>251</v>
      </c>
      <c r="C51" s="7" t="s">
        <v>334</v>
      </c>
      <c r="F51" s="7" t="s">
        <v>1176</v>
      </c>
      <c r="T51" s="13"/>
      <c r="U51" s="13"/>
      <c r="X51" s="13"/>
      <c r="AI51" s="13"/>
      <c r="BE51" s="7" t="s">
        <v>1174</v>
      </c>
      <c r="BF51" s="7" t="s">
        <v>2902</v>
      </c>
      <c r="BH51" s="13"/>
      <c r="BI51" s="13">
        <v>100</v>
      </c>
      <c r="BJ51" s="7" t="s">
        <v>251</v>
      </c>
      <c r="BK51" s="7" t="s">
        <v>341</v>
      </c>
      <c r="BL51" s="13">
        <v>6</v>
      </c>
      <c r="BM51" s="14"/>
      <c r="CB51" s="7" t="s">
        <v>334</v>
      </c>
    </row>
    <row r="52" spans="1:81" ht="38.25" x14ac:dyDescent="0.2">
      <c r="A52" s="6" t="s">
        <v>22</v>
      </c>
      <c r="B52" s="7" t="s">
        <v>251</v>
      </c>
      <c r="C52" s="7" t="s">
        <v>334</v>
      </c>
      <c r="F52" s="7" t="s">
        <v>1176</v>
      </c>
      <c r="T52" s="13"/>
      <c r="U52" s="13"/>
      <c r="X52" s="13"/>
      <c r="AI52" s="13"/>
      <c r="BE52" s="7" t="s">
        <v>1180</v>
      </c>
      <c r="BF52" s="7" t="s">
        <v>2896</v>
      </c>
      <c r="BH52" s="13">
        <v>3</v>
      </c>
      <c r="BI52" s="13"/>
      <c r="BL52" s="13"/>
      <c r="BM52" s="14"/>
      <c r="CB52" s="7" t="s">
        <v>334</v>
      </c>
    </row>
    <row r="53" spans="1:81" ht="38.25" x14ac:dyDescent="0.2">
      <c r="A53" s="6" t="s">
        <v>53</v>
      </c>
      <c r="B53" s="7" t="s">
        <v>251</v>
      </c>
      <c r="C53" s="7" t="s">
        <v>334</v>
      </c>
      <c r="F53" s="7" t="s">
        <v>1176</v>
      </c>
      <c r="U53" s="13"/>
      <c r="X53" s="13"/>
      <c r="AI53" s="13"/>
      <c r="BE53" s="7" t="s">
        <v>1174</v>
      </c>
      <c r="BF53" s="7" t="s">
        <v>2898</v>
      </c>
      <c r="BH53" s="13"/>
      <c r="BI53" s="13">
        <v>100</v>
      </c>
      <c r="BJ53" s="7" t="s">
        <v>251</v>
      </c>
      <c r="BK53" s="7" t="s">
        <v>341</v>
      </c>
      <c r="BL53" s="13">
        <v>4</v>
      </c>
      <c r="BM53" s="14"/>
      <c r="CB53" s="7" t="s">
        <v>334</v>
      </c>
    </row>
    <row r="54" spans="1:81" ht="38.25" x14ac:dyDescent="0.2">
      <c r="A54" s="6" t="s">
        <v>43</v>
      </c>
      <c r="B54" s="7" t="s">
        <v>251</v>
      </c>
      <c r="C54" s="7" t="s">
        <v>334</v>
      </c>
      <c r="F54" s="7" t="s">
        <v>1173</v>
      </c>
      <c r="U54" s="13"/>
      <c r="X54" s="13"/>
      <c r="AI54" s="13"/>
      <c r="BE54" s="7" t="s">
        <v>1174</v>
      </c>
      <c r="BF54" s="7" t="s">
        <v>2899</v>
      </c>
      <c r="BH54" s="13"/>
      <c r="BI54" s="13">
        <v>100</v>
      </c>
      <c r="BJ54" s="7" t="s">
        <v>251</v>
      </c>
      <c r="BK54" s="7" t="s">
        <v>341</v>
      </c>
      <c r="BL54" s="13">
        <v>6</v>
      </c>
      <c r="BM54" s="14"/>
      <c r="BP54" s="7" t="s">
        <v>1175</v>
      </c>
      <c r="CB54" s="7" t="s">
        <v>251</v>
      </c>
      <c r="CC54" s="7" t="s">
        <v>1194</v>
      </c>
    </row>
    <row r="55" spans="1:81" ht="25.5" x14ac:dyDescent="0.2">
      <c r="A55" s="6" t="s">
        <v>61</v>
      </c>
      <c r="B55" s="7" t="s">
        <v>251</v>
      </c>
      <c r="C55" s="7" t="s">
        <v>334</v>
      </c>
      <c r="F55" s="7" t="s">
        <v>1176</v>
      </c>
      <c r="U55" s="13"/>
      <c r="X55" s="13"/>
      <c r="AI55" s="13"/>
      <c r="BE55" s="7" t="s">
        <v>1175</v>
      </c>
      <c r="BH55" s="13"/>
      <c r="BI55" s="13"/>
      <c r="BL55" s="13"/>
      <c r="BM55" s="14"/>
      <c r="CB55" s="7" t="s">
        <v>334</v>
      </c>
    </row>
    <row r="56" spans="1:81" x14ac:dyDescent="0.2">
      <c r="A56" s="6" t="s">
        <v>72</v>
      </c>
      <c r="B56" s="7" t="s">
        <v>334</v>
      </c>
      <c r="AI56" s="13"/>
    </row>
    <row r="57" spans="1:81" ht="38.25" x14ac:dyDescent="0.2">
      <c r="A57" s="6" t="s">
        <v>16</v>
      </c>
      <c r="B57" s="7" t="s">
        <v>251</v>
      </c>
      <c r="C57" s="7" t="s">
        <v>334</v>
      </c>
      <c r="F57" s="7" t="s">
        <v>1173</v>
      </c>
      <c r="T57" s="13"/>
      <c r="U57" s="13"/>
      <c r="X57" s="13"/>
      <c r="AI57" s="13"/>
      <c r="BE57" s="7" t="s">
        <v>1174</v>
      </c>
      <c r="BF57" s="7" t="s">
        <v>2898</v>
      </c>
      <c r="BH57" s="13"/>
      <c r="BI57" s="13">
        <v>75</v>
      </c>
      <c r="BJ57" s="7" t="s">
        <v>251</v>
      </c>
      <c r="BK57" s="7" t="s">
        <v>341</v>
      </c>
      <c r="BL57" s="13">
        <v>6</v>
      </c>
      <c r="BM57" s="14"/>
      <c r="BP57" s="7" t="s">
        <v>1175</v>
      </c>
      <c r="CB57" s="7" t="s">
        <v>334</v>
      </c>
    </row>
    <row r="58" spans="1:81" ht="38.25" x14ac:dyDescent="0.2">
      <c r="A58" s="6" t="s">
        <v>32</v>
      </c>
      <c r="B58" s="7" t="s">
        <v>251</v>
      </c>
      <c r="C58" s="7" t="s">
        <v>358</v>
      </c>
      <c r="D58" s="7">
        <v>365</v>
      </c>
      <c r="F58" s="7" t="s">
        <v>1187</v>
      </c>
      <c r="G58" s="7" t="s">
        <v>739</v>
      </c>
      <c r="I58" s="7" t="s">
        <v>1179</v>
      </c>
      <c r="S58" s="7" t="s">
        <v>1180</v>
      </c>
      <c r="T58" s="13">
        <v>2</v>
      </c>
      <c r="U58" s="13"/>
      <c r="X58" s="13"/>
      <c r="AB58" s="7" t="s">
        <v>1181</v>
      </c>
      <c r="AF58" s="7" t="s">
        <v>1189</v>
      </c>
      <c r="AG58" s="7" t="s">
        <v>1188</v>
      </c>
      <c r="AI58" s="13">
        <v>9</v>
      </c>
      <c r="AJ58" s="7" t="s">
        <v>350</v>
      </c>
      <c r="BE58" s="7" t="s">
        <v>1175</v>
      </c>
      <c r="BH58" s="13"/>
      <c r="BI58" s="13"/>
      <c r="BL58" s="13"/>
      <c r="BM58" s="14"/>
      <c r="CB58" s="7" t="s">
        <v>334</v>
      </c>
    </row>
    <row r="59" spans="1:81" ht="38.25" x14ac:dyDescent="0.2">
      <c r="A59" s="6" t="s">
        <v>60</v>
      </c>
      <c r="B59" s="7" t="s">
        <v>251</v>
      </c>
      <c r="C59" s="7" t="s">
        <v>334</v>
      </c>
      <c r="F59" s="7" t="s">
        <v>1176</v>
      </c>
      <c r="U59" s="13"/>
      <c r="X59" s="13"/>
      <c r="AI59" s="13"/>
      <c r="BE59" s="7" t="s">
        <v>1174</v>
      </c>
      <c r="BF59" s="7" t="s">
        <v>2901</v>
      </c>
      <c r="BH59" s="13"/>
      <c r="BI59" s="13">
        <v>100</v>
      </c>
      <c r="BJ59" s="7" t="s">
        <v>251</v>
      </c>
      <c r="BK59" s="7" t="s">
        <v>341</v>
      </c>
      <c r="BL59" s="13">
        <v>5</v>
      </c>
      <c r="BM59" s="14"/>
      <c r="CB59" s="7" t="s">
        <v>334</v>
      </c>
    </row>
    <row r="60" spans="1:81" ht="89.25" x14ac:dyDescent="0.2">
      <c r="A60" s="6" t="s">
        <v>39</v>
      </c>
      <c r="B60" s="7" t="s">
        <v>251</v>
      </c>
      <c r="C60" s="7" t="s">
        <v>334</v>
      </c>
      <c r="F60" s="7" t="s">
        <v>1184</v>
      </c>
      <c r="U60" s="13"/>
      <c r="X60" s="13"/>
      <c r="AI60" s="13"/>
      <c r="BE60" s="7" t="s">
        <v>1175</v>
      </c>
      <c r="BH60" s="13"/>
      <c r="BI60" s="13"/>
      <c r="BL60" s="13"/>
      <c r="BM60" s="14"/>
      <c r="CA60" s="7" t="s">
        <v>3369</v>
      </c>
      <c r="CB60" s="7" t="s">
        <v>334</v>
      </c>
    </row>
    <row r="61" spans="1:81" ht="38.25" x14ac:dyDescent="0.2">
      <c r="A61" s="6" t="s">
        <v>40</v>
      </c>
      <c r="B61" s="7" t="s">
        <v>251</v>
      </c>
      <c r="C61" s="7" t="s">
        <v>334</v>
      </c>
      <c r="F61" s="7" t="s">
        <v>1173</v>
      </c>
      <c r="U61" s="13"/>
      <c r="X61" s="13"/>
      <c r="AI61" s="13"/>
      <c r="BE61" s="7" t="s">
        <v>1174</v>
      </c>
      <c r="BF61" s="7" t="s">
        <v>2914</v>
      </c>
      <c r="BH61" s="13"/>
      <c r="BI61" s="13">
        <v>4</v>
      </c>
      <c r="BJ61" s="7" t="s">
        <v>251</v>
      </c>
      <c r="BK61" s="7" t="s">
        <v>396</v>
      </c>
      <c r="BL61" s="13"/>
      <c r="BM61" s="14">
        <v>4000</v>
      </c>
      <c r="BP61" s="7" t="s">
        <v>1175</v>
      </c>
      <c r="CB61" s="7" t="s">
        <v>334</v>
      </c>
    </row>
    <row r="62" spans="1:81" ht="38.25" x14ac:dyDescent="0.2">
      <c r="A62" s="6" t="s">
        <v>44</v>
      </c>
      <c r="B62" s="7" t="s">
        <v>251</v>
      </c>
      <c r="C62" s="7" t="s">
        <v>334</v>
      </c>
      <c r="F62" s="7" t="s">
        <v>1176</v>
      </c>
      <c r="U62" s="13"/>
      <c r="X62" s="13"/>
      <c r="AI62" s="13"/>
      <c r="BE62" s="7" t="s">
        <v>1174</v>
      </c>
      <c r="BF62" s="7" t="s">
        <v>2901</v>
      </c>
      <c r="BH62" s="13"/>
      <c r="BI62" s="13">
        <v>7.5</v>
      </c>
      <c r="BJ62" s="7" t="s">
        <v>251</v>
      </c>
      <c r="BK62" s="7" t="s">
        <v>396</v>
      </c>
      <c r="BL62" s="13"/>
      <c r="BM62" s="14">
        <v>7000</v>
      </c>
      <c r="CB62" s="7" t="s">
        <v>334</v>
      </c>
    </row>
    <row r="63" spans="1:81" ht="38.25" x14ac:dyDescent="0.2">
      <c r="A63" s="6" t="s">
        <v>58</v>
      </c>
      <c r="B63" s="7" t="s">
        <v>251</v>
      </c>
      <c r="C63" s="7" t="s">
        <v>334</v>
      </c>
      <c r="F63" s="7" t="s">
        <v>1176</v>
      </c>
      <c r="U63" s="13"/>
      <c r="X63" s="13"/>
      <c r="AI63" s="13"/>
      <c r="BE63" s="7" t="s">
        <v>1174</v>
      </c>
      <c r="BF63" s="7" t="s">
        <v>753</v>
      </c>
      <c r="BH63" s="13"/>
      <c r="BI63" s="13">
        <v>50</v>
      </c>
      <c r="BJ63" s="7" t="s">
        <v>251</v>
      </c>
      <c r="BK63" s="7" t="s">
        <v>396</v>
      </c>
      <c r="BL63" s="13"/>
      <c r="BM63" s="14">
        <v>2000</v>
      </c>
      <c r="CB63" s="7" t="s">
        <v>334</v>
      </c>
    </row>
    <row r="64" spans="1:81" ht="38.25" x14ac:dyDescent="0.2">
      <c r="A64" s="6" t="s">
        <v>15</v>
      </c>
      <c r="B64" s="7" t="s">
        <v>251</v>
      </c>
      <c r="C64" s="7" t="s">
        <v>334</v>
      </c>
      <c r="F64" s="7" t="s">
        <v>1178</v>
      </c>
      <c r="G64" s="7" t="s">
        <v>753</v>
      </c>
      <c r="I64" s="7" t="s">
        <v>1179</v>
      </c>
      <c r="S64" s="7" t="s">
        <v>1174</v>
      </c>
      <c r="T64" s="13"/>
      <c r="U64" s="13"/>
      <c r="V64" s="7" t="s">
        <v>251</v>
      </c>
      <c r="W64" s="7" t="s">
        <v>341</v>
      </c>
      <c r="X64" s="13">
        <v>3</v>
      </c>
      <c r="AI64" s="13"/>
      <c r="AJ64" s="7" t="s">
        <v>1030</v>
      </c>
      <c r="BH64" s="13"/>
      <c r="BI64" s="13"/>
      <c r="BL64" s="13"/>
      <c r="BM64" s="14"/>
      <c r="CB64" s="7" t="s">
        <v>334</v>
      </c>
    </row>
    <row r="65" spans="1:81" x14ac:dyDescent="0.2">
      <c r="A65" s="21" t="s">
        <v>3357</v>
      </c>
      <c r="B65" s="7">
        <f t="shared" ref="B65:AG65" si="0">COUNTA(B3:B64)</f>
        <v>62</v>
      </c>
      <c r="C65" s="7">
        <f t="shared" si="0"/>
        <v>57</v>
      </c>
      <c r="D65" s="7">
        <f t="shared" si="0"/>
        <v>3</v>
      </c>
      <c r="E65" s="7">
        <f t="shared" si="0"/>
        <v>0</v>
      </c>
      <c r="F65" s="7">
        <f t="shared" si="0"/>
        <v>57</v>
      </c>
      <c r="G65" s="7">
        <f t="shared" si="0"/>
        <v>9</v>
      </c>
      <c r="H65" s="7">
        <f t="shared" si="0"/>
        <v>1</v>
      </c>
      <c r="I65" s="7">
        <f t="shared" si="0"/>
        <v>9</v>
      </c>
      <c r="J65" s="7">
        <f t="shared" si="0"/>
        <v>0</v>
      </c>
      <c r="K65" s="7">
        <f t="shared" si="0"/>
        <v>0</v>
      </c>
      <c r="L65" s="7">
        <f t="shared" si="0"/>
        <v>0</v>
      </c>
      <c r="M65" s="7">
        <f t="shared" si="0"/>
        <v>0</v>
      </c>
      <c r="N65" s="7">
        <f t="shared" si="0"/>
        <v>0</v>
      </c>
      <c r="O65" s="7">
        <f t="shared" si="0"/>
        <v>0</v>
      </c>
      <c r="P65" s="7">
        <f t="shared" si="0"/>
        <v>0</v>
      </c>
      <c r="Q65" s="7">
        <f t="shared" si="0"/>
        <v>0</v>
      </c>
      <c r="R65" s="7">
        <f t="shared" si="0"/>
        <v>0</v>
      </c>
      <c r="S65" s="7">
        <f t="shared" si="0"/>
        <v>9</v>
      </c>
      <c r="T65" s="7">
        <f t="shared" si="0"/>
        <v>4</v>
      </c>
      <c r="U65" s="7">
        <f t="shared" si="0"/>
        <v>5</v>
      </c>
      <c r="V65" s="7">
        <f t="shared" si="0"/>
        <v>6</v>
      </c>
      <c r="W65" s="7">
        <f t="shared" si="0"/>
        <v>6</v>
      </c>
      <c r="X65" s="7">
        <f t="shared" si="0"/>
        <v>4</v>
      </c>
      <c r="Y65" s="7">
        <f t="shared" si="0"/>
        <v>1</v>
      </c>
      <c r="Z65" s="7">
        <f t="shared" si="0"/>
        <v>0</v>
      </c>
      <c r="AA65" s="7">
        <f t="shared" si="0"/>
        <v>1</v>
      </c>
      <c r="AB65" s="7">
        <f t="shared" si="0"/>
        <v>8</v>
      </c>
      <c r="AC65" s="7">
        <f t="shared" si="0"/>
        <v>0</v>
      </c>
      <c r="AD65" s="7">
        <f t="shared" si="0"/>
        <v>0</v>
      </c>
      <c r="AE65" s="7">
        <f t="shared" si="0"/>
        <v>0</v>
      </c>
      <c r="AF65" s="7">
        <f t="shared" si="0"/>
        <v>7</v>
      </c>
      <c r="AG65" s="7">
        <f t="shared" si="0"/>
        <v>7</v>
      </c>
      <c r="AH65" s="7">
        <f t="shared" ref="AH65:BM65" si="1">COUNTA(AH3:AH64)</f>
        <v>0</v>
      </c>
      <c r="AI65" s="7">
        <f t="shared" si="1"/>
        <v>4</v>
      </c>
      <c r="AJ65" s="7">
        <f t="shared" si="1"/>
        <v>8</v>
      </c>
      <c r="AK65" s="7">
        <f t="shared" si="1"/>
        <v>1</v>
      </c>
      <c r="AL65" s="7">
        <f t="shared" si="1"/>
        <v>0</v>
      </c>
      <c r="AM65" s="7">
        <f t="shared" si="1"/>
        <v>0</v>
      </c>
      <c r="AN65" s="7">
        <f t="shared" si="1"/>
        <v>0</v>
      </c>
      <c r="AO65" s="7">
        <f t="shared" si="1"/>
        <v>0</v>
      </c>
      <c r="AP65" s="7">
        <f t="shared" si="1"/>
        <v>0</v>
      </c>
      <c r="AQ65" s="7">
        <f t="shared" si="1"/>
        <v>0</v>
      </c>
      <c r="AR65" s="7">
        <f t="shared" si="1"/>
        <v>0</v>
      </c>
      <c r="AS65" s="7">
        <f t="shared" si="1"/>
        <v>0</v>
      </c>
      <c r="AT65" s="7">
        <f t="shared" si="1"/>
        <v>0</v>
      </c>
      <c r="AU65" s="7">
        <f t="shared" si="1"/>
        <v>0</v>
      </c>
      <c r="AV65" s="7">
        <f t="shared" si="1"/>
        <v>0</v>
      </c>
      <c r="AW65" s="7">
        <f t="shared" si="1"/>
        <v>0</v>
      </c>
      <c r="AX65" s="7">
        <f t="shared" si="1"/>
        <v>0</v>
      </c>
      <c r="AY65" s="7">
        <f t="shared" si="1"/>
        <v>0</v>
      </c>
      <c r="AZ65" s="7">
        <f t="shared" si="1"/>
        <v>0</v>
      </c>
      <c r="BA65" s="7">
        <f t="shared" si="1"/>
        <v>0</v>
      </c>
      <c r="BB65" s="7">
        <f t="shared" si="1"/>
        <v>0</v>
      </c>
      <c r="BC65" s="7">
        <f t="shared" si="1"/>
        <v>0</v>
      </c>
      <c r="BD65" s="7">
        <f t="shared" si="1"/>
        <v>0</v>
      </c>
      <c r="BE65" s="7">
        <f t="shared" si="1"/>
        <v>54</v>
      </c>
      <c r="BF65" s="7">
        <f t="shared" si="1"/>
        <v>43</v>
      </c>
      <c r="BG65" s="7">
        <f t="shared" si="1"/>
        <v>1</v>
      </c>
      <c r="BH65" s="7">
        <f t="shared" si="1"/>
        <v>4</v>
      </c>
      <c r="BI65" s="7">
        <f t="shared" si="1"/>
        <v>36</v>
      </c>
      <c r="BJ65" s="7">
        <f t="shared" si="1"/>
        <v>39</v>
      </c>
      <c r="BK65" s="7">
        <f t="shared" si="1"/>
        <v>39</v>
      </c>
      <c r="BL65" s="7">
        <f t="shared" si="1"/>
        <v>23</v>
      </c>
      <c r="BM65" s="7">
        <f t="shared" si="1"/>
        <v>15</v>
      </c>
      <c r="BN65" s="7">
        <f t="shared" ref="BN65:CC65" si="2">COUNTA(BN3:BN64)</f>
        <v>0</v>
      </c>
      <c r="BO65" s="7">
        <f t="shared" si="2"/>
        <v>3</v>
      </c>
      <c r="BP65" s="7">
        <f t="shared" si="2"/>
        <v>12</v>
      </c>
      <c r="BQ65" s="7">
        <f t="shared" si="2"/>
        <v>0</v>
      </c>
      <c r="BR65" s="7">
        <f t="shared" si="2"/>
        <v>0</v>
      </c>
      <c r="BS65" s="7">
        <f t="shared" si="2"/>
        <v>0</v>
      </c>
      <c r="BT65" s="7">
        <f t="shared" si="2"/>
        <v>0</v>
      </c>
      <c r="BU65" s="7">
        <f t="shared" si="2"/>
        <v>0</v>
      </c>
      <c r="BV65" s="7">
        <f t="shared" si="2"/>
        <v>0</v>
      </c>
      <c r="BW65" s="7">
        <f t="shared" si="2"/>
        <v>0</v>
      </c>
      <c r="BX65" s="7">
        <f t="shared" si="2"/>
        <v>0</v>
      </c>
      <c r="BY65" s="7">
        <f t="shared" si="2"/>
        <v>0</v>
      </c>
      <c r="BZ65" s="7">
        <f t="shared" si="2"/>
        <v>0</v>
      </c>
      <c r="CA65" s="7">
        <f t="shared" si="2"/>
        <v>5</v>
      </c>
      <c r="CB65" s="7">
        <f t="shared" si="2"/>
        <v>56</v>
      </c>
      <c r="CC65" s="7">
        <f t="shared" si="2"/>
        <v>2</v>
      </c>
    </row>
  </sheetData>
  <autoFilter ref="A2:CC64" xr:uid="{B8907A5A-7B77-4BA1-98E1-8AA274303321}"/>
  <sortState xmlns:xlrd2="http://schemas.microsoft.com/office/spreadsheetml/2017/richdata2" ref="A3:CC64">
    <sortCondition ref="A3:A64"/>
  </sortState>
  <hyperlinks>
    <hyperlink ref="A1" location="Index!A1" display="Back to Index" xr:uid="{00000000-0004-0000-06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J65"/>
  <sheetViews>
    <sheetView workbookViewId="0">
      <pane xSplit="1" ySplit="2" topLeftCell="B3" activePane="bottomRight" state="frozen"/>
      <selection activeCell="AC10" sqref="AC10"/>
      <selection pane="topRight" activeCell="AC10" sqref="AC10"/>
      <selection pane="bottomLeft" activeCell="AC10" sqref="AC10"/>
      <selection pane="bottomRight"/>
    </sheetView>
  </sheetViews>
  <sheetFormatPr defaultColWidth="15.7109375" defaultRowHeight="12.75" x14ac:dyDescent="0.2"/>
  <cols>
    <col min="1" max="1" width="14" style="6" customWidth="1"/>
    <col min="2" max="10" width="30.7109375" style="7" customWidth="1"/>
    <col min="11" max="11" width="60.7109375" style="7" customWidth="1"/>
    <col min="12" max="79" width="30.7109375" style="7" customWidth="1"/>
    <col min="80" max="80" width="74.42578125" style="7" customWidth="1"/>
    <col min="81" max="166" width="30.7109375" style="7" customWidth="1"/>
    <col min="167" max="16384" width="15.7109375" style="6"/>
  </cols>
  <sheetData>
    <row r="1" spans="1:166" s="9" customFormat="1" x14ac:dyDescent="0.2">
      <c r="A1" s="12" t="s">
        <v>1984</v>
      </c>
      <c r="B1" s="8" t="s">
        <v>1199</v>
      </c>
      <c r="C1" s="8" t="s">
        <v>1200</v>
      </c>
      <c r="D1" s="8" t="s">
        <v>1201</v>
      </c>
      <c r="E1" s="8" t="s">
        <v>1202</v>
      </c>
      <c r="F1" s="8" t="s">
        <v>1203</v>
      </c>
      <c r="G1" s="8" t="s">
        <v>1204</v>
      </c>
      <c r="H1" s="8" t="s">
        <v>1205</v>
      </c>
      <c r="I1" s="8" t="s">
        <v>1206</v>
      </c>
      <c r="J1" s="8" t="s">
        <v>1207</v>
      </c>
      <c r="K1" s="8" t="s">
        <v>1208</v>
      </c>
      <c r="L1" s="8" t="s">
        <v>1209</v>
      </c>
      <c r="M1" s="8" t="s">
        <v>1210</v>
      </c>
      <c r="N1" s="8" t="s">
        <v>1211</v>
      </c>
      <c r="O1" s="8" t="s">
        <v>1212</v>
      </c>
      <c r="P1" s="8" t="s">
        <v>1213</v>
      </c>
      <c r="Q1" s="8" t="s">
        <v>1214</v>
      </c>
      <c r="R1" s="8" t="s">
        <v>1215</v>
      </c>
      <c r="S1" s="8" t="s">
        <v>1216</v>
      </c>
      <c r="T1" s="8" t="s">
        <v>1217</v>
      </c>
      <c r="U1" s="8" t="s">
        <v>1218</v>
      </c>
      <c r="V1" s="8" t="s">
        <v>1219</v>
      </c>
      <c r="W1" s="8" t="s">
        <v>1220</v>
      </c>
      <c r="X1" s="8" t="s">
        <v>1221</v>
      </c>
      <c r="Y1" s="8" t="s">
        <v>1222</v>
      </c>
      <c r="Z1" s="8" t="s">
        <v>1223</v>
      </c>
      <c r="AA1" s="8" t="s">
        <v>1224</v>
      </c>
      <c r="AB1" s="8" t="s">
        <v>1225</v>
      </c>
      <c r="AC1" s="8" t="s">
        <v>1226</v>
      </c>
      <c r="AD1" s="8" t="s">
        <v>1227</v>
      </c>
      <c r="AE1" s="8" t="s">
        <v>1228</v>
      </c>
      <c r="AF1" s="8" t="s">
        <v>1229</v>
      </c>
      <c r="AG1" s="8" t="s">
        <v>1230</v>
      </c>
      <c r="AH1" s="8" t="s">
        <v>1231</v>
      </c>
      <c r="AI1" s="8" t="s">
        <v>1232</v>
      </c>
      <c r="AJ1" s="8" t="s">
        <v>1233</v>
      </c>
      <c r="AK1" s="8" t="s">
        <v>1234</v>
      </c>
      <c r="AL1" s="8" t="s">
        <v>1235</v>
      </c>
      <c r="AM1" s="8" t="s">
        <v>1236</v>
      </c>
      <c r="AN1" s="8" t="s">
        <v>1237</v>
      </c>
      <c r="AO1" s="8" t="s">
        <v>1238</v>
      </c>
      <c r="AP1" s="8" t="s">
        <v>1239</v>
      </c>
      <c r="AQ1" s="8" t="s">
        <v>1240</v>
      </c>
      <c r="AR1" s="8" t="s">
        <v>1241</v>
      </c>
      <c r="AS1" s="8" t="s">
        <v>1242</v>
      </c>
      <c r="AT1" s="8" t="s">
        <v>1243</v>
      </c>
      <c r="AU1" s="8" t="s">
        <v>1244</v>
      </c>
      <c r="AV1" s="8" t="s">
        <v>1245</v>
      </c>
      <c r="AW1" s="8" t="s">
        <v>1246</v>
      </c>
      <c r="AX1" s="8" t="s">
        <v>1247</v>
      </c>
      <c r="AY1" s="8" t="s">
        <v>1248</v>
      </c>
      <c r="AZ1" s="8" t="s">
        <v>1249</v>
      </c>
      <c r="BA1" s="8" t="s">
        <v>1250</v>
      </c>
      <c r="BB1" s="8" t="s">
        <v>1251</v>
      </c>
      <c r="BC1" s="8" t="s">
        <v>1252</v>
      </c>
      <c r="BD1" s="8" t="s">
        <v>1253</v>
      </c>
      <c r="BE1" s="8" t="s">
        <v>1254</v>
      </c>
      <c r="BF1" s="8" t="s">
        <v>1255</v>
      </c>
      <c r="BG1" s="8" t="s">
        <v>1256</v>
      </c>
      <c r="BH1" s="8" t="s">
        <v>1257</v>
      </c>
      <c r="BI1" s="8" t="s">
        <v>1258</v>
      </c>
      <c r="BJ1" s="8" t="s">
        <v>1259</v>
      </c>
      <c r="BK1" s="8" t="s">
        <v>1260</v>
      </c>
      <c r="BL1" s="8" t="s">
        <v>1261</v>
      </c>
      <c r="BM1" s="8" t="s">
        <v>1262</v>
      </c>
      <c r="BN1" s="8" t="s">
        <v>1263</v>
      </c>
      <c r="BO1" s="8" t="s">
        <v>1264</v>
      </c>
      <c r="BP1" s="8" t="s">
        <v>1265</v>
      </c>
      <c r="BQ1" s="8" t="s">
        <v>1266</v>
      </c>
      <c r="BR1" s="8" t="s">
        <v>1267</v>
      </c>
      <c r="BS1" s="8" t="s">
        <v>1268</v>
      </c>
      <c r="BT1" s="8" t="s">
        <v>1269</v>
      </c>
      <c r="BU1" s="8" t="s">
        <v>1270</v>
      </c>
      <c r="BV1" s="8" t="s">
        <v>1271</v>
      </c>
      <c r="BW1" s="8" t="s">
        <v>1272</v>
      </c>
      <c r="BX1" s="8" t="s">
        <v>1273</v>
      </c>
      <c r="BY1" s="8" t="s">
        <v>1274</v>
      </c>
      <c r="BZ1" s="8" t="s">
        <v>1275</v>
      </c>
      <c r="CA1" s="8" t="s">
        <v>1276</v>
      </c>
      <c r="CB1" s="8" t="s">
        <v>1277</v>
      </c>
      <c r="CC1" s="8" t="s">
        <v>1278</v>
      </c>
      <c r="CD1" s="8" t="s">
        <v>1279</v>
      </c>
      <c r="CE1" s="8" t="s">
        <v>1280</v>
      </c>
      <c r="CF1" s="8" t="s">
        <v>1281</v>
      </c>
      <c r="CG1" s="8" t="s">
        <v>1282</v>
      </c>
      <c r="CH1" s="8" t="s">
        <v>1283</v>
      </c>
      <c r="CI1" s="8" t="s">
        <v>1284</v>
      </c>
      <c r="CJ1" s="8" t="s">
        <v>1285</v>
      </c>
      <c r="CK1" s="8" t="s">
        <v>1286</v>
      </c>
      <c r="CL1" s="8" t="s">
        <v>2309</v>
      </c>
      <c r="CM1" s="8" t="s">
        <v>2310</v>
      </c>
      <c r="CN1" s="8" t="s">
        <v>2311</v>
      </c>
      <c r="CO1" s="8" t="s">
        <v>2312</v>
      </c>
      <c r="CP1" s="8" t="s">
        <v>2313</v>
      </c>
      <c r="CQ1" s="8" t="s">
        <v>2314</v>
      </c>
      <c r="CR1" s="8" t="s">
        <v>2315</v>
      </c>
      <c r="CS1" s="8" t="s">
        <v>2316</v>
      </c>
      <c r="CT1" s="8" t="s">
        <v>2317</v>
      </c>
      <c r="CU1" s="8" t="s">
        <v>2318</v>
      </c>
      <c r="CV1" s="8" t="s">
        <v>2319</v>
      </c>
      <c r="CW1" s="8" t="s">
        <v>2320</v>
      </c>
      <c r="CX1" s="8" t="s">
        <v>2321</v>
      </c>
      <c r="CY1" s="8" t="s">
        <v>2322</v>
      </c>
      <c r="CZ1" s="8" t="s">
        <v>2323</v>
      </c>
      <c r="DA1" s="8" t="s">
        <v>2324</v>
      </c>
      <c r="DB1" s="8" t="s">
        <v>2325</v>
      </c>
      <c r="DC1" s="8" t="s">
        <v>2326</v>
      </c>
      <c r="DD1" s="8" t="s">
        <v>2327</v>
      </c>
      <c r="DE1" s="8" t="s">
        <v>2328</v>
      </c>
      <c r="DF1" s="8" t="s">
        <v>2329</v>
      </c>
      <c r="DG1" s="8" t="s">
        <v>2330</v>
      </c>
      <c r="DH1" s="8" t="s">
        <v>2331</v>
      </c>
      <c r="DI1" s="8" t="s">
        <v>2332</v>
      </c>
      <c r="DJ1" s="8" t="s">
        <v>2333</v>
      </c>
      <c r="DK1" s="8" t="s">
        <v>2334</v>
      </c>
      <c r="DL1" s="8" t="s">
        <v>2335</v>
      </c>
      <c r="DM1" s="8" t="s">
        <v>2336</v>
      </c>
      <c r="DN1" s="8" t="s">
        <v>2337</v>
      </c>
      <c r="DO1" s="8" t="s">
        <v>2338</v>
      </c>
      <c r="DP1" s="8" t="s">
        <v>2339</v>
      </c>
      <c r="DQ1" s="8" t="s">
        <v>2340</v>
      </c>
      <c r="DR1" s="8" t="s">
        <v>2341</v>
      </c>
      <c r="DS1" s="8" t="s">
        <v>2342</v>
      </c>
      <c r="DT1" s="8" t="s">
        <v>2343</v>
      </c>
      <c r="DU1" s="8" t="s">
        <v>2344</v>
      </c>
      <c r="DV1" s="8" t="s">
        <v>1287</v>
      </c>
      <c r="DW1" s="8" t="s">
        <v>1288</v>
      </c>
      <c r="DX1" s="8" t="s">
        <v>1289</v>
      </c>
      <c r="DY1" s="8" t="s">
        <v>1290</v>
      </c>
      <c r="DZ1" s="8" t="s">
        <v>1291</v>
      </c>
      <c r="EA1" s="8" t="s">
        <v>1292</v>
      </c>
      <c r="EB1" s="8" t="s">
        <v>1293</v>
      </c>
      <c r="EC1" s="8" t="s">
        <v>1294</v>
      </c>
      <c r="ED1" s="8" t="s">
        <v>1295</v>
      </c>
      <c r="EE1" s="8" t="s">
        <v>1296</v>
      </c>
      <c r="EF1" s="8" t="s">
        <v>1297</v>
      </c>
      <c r="EG1" s="8" t="s">
        <v>1298</v>
      </c>
      <c r="EH1" s="8" t="s">
        <v>1299</v>
      </c>
      <c r="EI1" s="8" t="s">
        <v>1300</v>
      </c>
      <c r="EJ1" s="8" t="s">
        <v>1301</v>
      </c>
      <c r="EK1" s="8" t="s">
        <v>1302</v>
      </c>
      <c r="EL1" s="8" t="s">
        <v>1303</v>
      </c>
      <c r="EM1" s="8" t="s">
        <v>1304</v>
      </c>
      <c r="EN1" s="8" t="s">
        <v>1305</v>
      </c>
      <c r="EO1" s="8" t="s">
        <v>1306</v>
      </c>
      <c r="EP1" s="8" t="s">
        <v>1307</v>
      </c>
      <c r="EQ1" s="8" t="s">
        <v>1308</v>
      </c>
      <c r="ER1" s="8" t="s">
        <v>1309</v>
      </c>
      <c r="ES1" s="8" t="s">
        <v>1310</v>
      </c>
      <c r="ET1" s="8" t="s">
        <v>1311</v>
      </c>
      <c r="EU1" s="8" t="s">
        <v>1312</v>
      </c>
      <c r="EV1" s="8" t="s">
        <v>1313</v>
      </c>
      <c r="EW1" s="8" t="s">
        <v>1314</v>
      </c>
      <c r="EX1" s="8" t="s">
        <v>1315</v>
      </c>
      <c r="EY1" s="8" t="s">
        <v>1316</v>
      </c>
      <c r="EZ1" s="8" t="s">
        <v>1317</v>
      </c>
      <c r="FA1" s="8" t="s">
        <v>1318</v>
      </c>
      <c r="FB1" s="8" t="s">
        <v>1319</v>
      </c>
      <c r="FC1" s="8" t="s">
        <v>1320</v>
      </c>
      <c r="FD1" s="8" t="s">
        <v>1321</v>
      </c>
      <c r="FE1" s="8" t="s">
        <v>1322</v>
      </c>
      <c r="FF1" s="8" t="s">
        <v>1323</v>
      </c>
      <c r="FG1" s="8" t="s">
        <v>1324</v>
      </c>
      <c r="FH1" s="8" t="s">
        <v>1325</v>
      </c>
      <c r="FI1" s="8" t="s">
        <v>1326</v>
      </c>
      <c r="FJ1" s="8" t="s">
        <v>1327</v>
      </c>
    </row>
    <row r="2" spans="1:166" s="9" customFormat="1" ht="76.5" x14ac:dyDescent="0.2">
      <c r="A2" s="9" t="s">
        <v>2713</v>
      </c>
      <c r="B2" s="17" t="s">
        <v>2345</v>
      </c>
      <c r="C2" s="17" t="s">
        <v>2346</v>
      </c>
      <c r="D2" s="8" t="s">
        <v>2347</v>
      </c>
      <c r="E2" s="8" t="s">
        <v>1994</v>
      </c>
      <c r="F2" s="8" t="s">
        <v>1995</v>
      </c>
      <c r="G2" s="18" t="s">
        <v>2348</v>
      </c>
      <c r="H2" s="18" t="s">
        <v>2349</v>
      </c>
      <c r="I2" s="8" t="s">
        <v>2350</v>
      </c>
      <c r="J2" s="8" t="s">
        <v>2351</v>
      </c>
      <c r="K2" s="18" t="s">
        <v>2352</v>
      </c>
      <c r="L2" s="8" t="s">
        <v>2353</v>
      </c>
      <c r="M2" s="8" t="s">
        <v>2354</v>
      </c>
      <c r="N2" s="8" t="s">
        <v>2355</v>
      </c>
      <c r="O2" s="8" t="s">
        <v>2356</v>
      </c>
      <c r="P2" s="8" t="s">
        <v>2208</v>
      </c>
      <c r="Q2" s="8" t="s">
        <v>2209</v>
      </c>
      <c r="R2" s="8" t="s">
        <v>2357</v>
      </c>
      <c r="S2" s="8" t="s">
        <v>2358</v>
      </c>
      <c r="T2" s="8" t="s">
        <v>2359</v>
      </c>
      <c r="U2" s="8" t="s">
        <v>2360</v>
      </c>
      <c r="V2" s="18" t="s">
        <v>2361</v>
      </c>
      <c r="W2" s="18" t="s">
        <v>2362</v>
      </c>
      <c r="X2" s="18" t="s">
        <v>2363</v>
      </c>
      <c r="Y2" s="18" t="s">
        <v>2364</v>
      </c>
      <c r="Z2" s="18" t="s">
        <v>2746</v>
      </c>
      <c r="AA2" s="18" t="s">
        <v>2365</v>
      </c>
      <c r="AB2" s="18" t="s">
        <v>2366</v>
      </c>
      <c r="AC2" s="18" t="s">
        <v>2367</v>
      </c>
      <c r="AD2" s="18" t="s">
        <v>2368</v>
      </c>
      <c r="AE2" s="17" t="s">
        <v>2369</v>
      </c>
      <c r="AF2" s="17" t="s">
        <v>1994</v>
      </c>
      <c r="AG2" s="17" t="s">
        <v>1995</v>
      </c>
      <c r="AH2" s="17" t="s">
        <v>2370</v>
      </c>
      <c r="AI2" s="17" t="s">
        <v>2371</v>
      </c>
      <c r="AJ2" s="17" t="s">
        <v>2372</v>
      </c>
      <c r="AK2" s="17" t="s">
        <v>2373</v>
      </c>
      <c r="AL2" s="17" t="s">
        <v>2374</v>
      </c>
      <c r="AM2" s="18" t="s">
        <v>2375</v>
      </c>
      <c r="AN2" s="18" t="s">
        <v>1994</v>
      </c>
      <c r="AO2" s="18" t="s">
        <v>1995</v>
      </c>
      <c r="AP2" s="8" t="s">
        <v>2376</v>
      </c>
      <c r="AQ2" s="8" t="s">
        <v>2377</v>
      </c>
      <c r="AR2" s="8" t="s">
        <v>2378</v>
      </c>
      <c r="AS2" s="8" t="s">
        <v>2379</v>
      </c>
      <c r="AT2" s="8" t="s">
        <v>2380</v>
      </c>
      <c r="AU2" s="17" t="s">
        <v>2381</v>
      </c>
      <c r="AV2" s="17" t="s">
        <v>1994</v>
      </c>
      <c r="AW2" s="17" t="s">
        <v>1995</v>
      </c>
      <c r="AX2" s="17" t="s">
        <v>2382</v>
      </c>
      <c r="AY2" s="17" t="s">
        <v>2383</v>
      </c>
      <c r="AZ2" s="17" t="s">
        <v>2384</v>
      </c>
      <c r="BA2" s="17" t="s">
        <v>2385</v>
      </c>
      <c r="BB2" s="17" t="s">
        <v>2386</v>
      </c>
      <c r="BC2" s="8" t="s">
        <v>2387</v>
      </c>
      <c r="BD2" s="8" t="s">
        <v>2388</v>
      </c>
      <c r="BE2" s="17" t="s">
        <v>2389</v>
      </c>
      <c r="BF2" s="17" t="s">
        <v>1994</v>
      </c>
      <c r="BG2" s="17" t="s">
        <v>1995</v>
      </c>
      <c r="BH2" s="17" t="s">
        <v>2390</v>
      </c>
      <c r="BI2" s="17" t="s">
        <v>2391</v>
      </c>
      <c r="BJ2" s="17" t="s">
        <v>2392</v>
      </c>
      <c r="BK2" s="17" t="s">
        <v>2393</v>
      </c>
      <c r="BL2" s="17" t="s">
        <v>2394</v>
      </c>
      <c r="BM2" s="17" t="s">
        <v>2395</v>
      </c>
      <c r="BN2" s="17" t="s">
        <v>2396</v>
      </c>
      <c r="BO2" s="17" t="s">
        <v>2397</v>
      </c>
      <c r="BP2" s="18" t="s">
        <v>2398</v>
      </c>
      <c r="BQ2" s="8" t="s">
        <v>1994</v>
      </c>
      <c r="BR2" s="8" t="s">
        <v>1995</v>
      </c>
      <c r="BS2" s="8" t="s">
        <v>2399</v>
      </c>
      <c r="BT2" s="8" t="s">
        <v>2400</v>
      </c>
      <c r="BU2" s="8" t="s">
        <v>2401</v>
      </c>
      <c r="BV2" s="8" t="s">
        <v>2402</v>
      </c>
      <c r="BW2" s="8" t="s">
        <v>2403</v>
      </c>
      <c r="BX2" s="8" t="s">
        <v>2404</v>
      </c>
      <c r="BY2" s="8" t="s">
        <v>2405</v>
      </c>
      <c r="BZ2" s="8" t="s">
        <v>2406</v>
      </c>
      <c r="CA2" s="8" t="s">
        <v>2407</v>
      </c>
      <c r="CB2" s="8" t="s">
        <v>2747</v>
      </c>
      <c r="CC2" s="17" t="s">
        <v>2408</v>
      </c>
      <c r="CD2" s="17" t="s">
        <v>1994</v>
      </c>
      <c r="CE2" s="17" t="s">
        <v>1995</v>
      </c>
      <c r="CF2" s="17" t="s">
        <v>2409</v>
      </c>
      <c r="CG2" s="17" t="s">
        <v>2410</v>
      </c>
      <c r="CH2" s="17" t="s">
        <v>2411</v>
      </c>
      <c r="CI2" s="17" t="s">
        <v>2412</v>
      </c>
      <c r="CJ2" s="17" t="s">
        <v>2413</v>
      </c>
      <c r="CK2" s="17" t="s">
        <v>2414</v>
      </c>
      <c r="CL2" s="17" t="s">
        <v>2415</v>
      </c>
      <c r="CM2" s="17" t="s">
        <v>2416</v>
      </c>
      <c r="CN2" s="17" t="s">
        <v>2417</v>
      </c>
      <c r="CO2" s="17" t="s">
        <v>2418</v>
      </c>
      <c r="CP2" s="17" t="s">
        <v>2419</v>
      </c>
      <c r="CQ2" s="17" t="s">
        <v>2420</v>
      </c>
      <c r="CR2" s="17" t="s">
        <v>2421</v>
      </c>
      <c r="CS2" s="17" t="s">
        <v>2422</v>
      </c>
      <c r="CT2" s="17" t="s">
        <v>2423</v>
      </c>
      <c r="CU2" s="17" t="s">
        <v>2424</v>
      </c>
      <c r="CV2" s="17" t="s">
        <v>2425</v>
      </c>
      <c r="CW2" s="17" t="s">
        <v>2426</v>
      </c>
      <c r="CX2" s="17" t="s">
        <v>2427</v>
      </c>
      <c r="CY2" s="17" t="s">
        <v>2428</v>
      </c>
      <c r="CZ2" s="17" t="s">
        <v>2429</v>
      </c>
      <c r="DA2" s="17" t="s">
        <v>2430</v>
      </c>
      <c r="DB2" s="17" t="s">
        <v>2431</v>
      </c>
      <c r="DC2" s="17" t="s">
        <v>2432</v>
      </c>
      <c r="DD2" s="17" t="s">
        <v>2433</v>
      </c>
      <c r="DE2" s="17" t="s">
        <v>2434</v>
      </c>
      <c r="DF2" s="17" t="s">
        <v>2435</v>
      </c>
      <c r="DG2" s="17" t="s">
        <v>2436</v>
      </c>
      <c r="DH2" s="17" t="s">
        <v>2437</v>
      </c>
      <c r="DI2" s="17" t="s">
        <v>2438</v>
      </c>
      <c r="DJ2" s="17" t="s">
        <v>2439</v>
      </c>
      <c r="DK2" s="17" t="s">
        <v>2440</v>
      </c>
      <c r="DL2" s="17" t="s">
        <v>2441</v>
      </c>
      <c r="DM2" s="17" t="s">
        <v>2442</v>
      </c>
      <c r="DN2" s="17" t="s">
        <v>2443</v>
      </c>
      <c r="DO2" s="17" t="s">
        <v>2444</v>
      </c>
      <c r="DP2" s="17" t="s">
        <v>2445</v>
      </c>
      <c r="DQ2" s="17" t="s">
        <v>2446</v>
      </c>
      <c r="DR2" s="17" t="s">
        <v>2447</v>
      </c>
      <c r="DS2" s="17" t="s">
        <v>2448</v>
      </c>
      <c r="DT2" s="17" t="s">
        <v>2449</v>
      </c>
      <c r="DU2" s="17" t="s">
        <v>2450</v>
      </c>
      <c r="DV2" s="17" t="s">
        <v>2451</v>
      </c>
      <c r="DW2" s="17" t="s">
        <v>2452</v>
      </c>
      <c r="DX2" s="17" t="s">
        <v>2453</v>
      </c>
      <c r="DY2" s="17" t="s">
        <v>2454</v>
      </c>
      <c r="DZ2" s="17" t="s">
        <v>2455</v>
      </c>
      <c r="EA2" s="17" t="s">
        <v>2456</v>
      </c>
      <c r="EB2" s="8" t="s">
        <v>2457</v>
      </c>
      <c r="EC2" s="8" t="s">
        <v>2458</v>
      </c>
      <c r="ED2" s="8" t="s">
        <v>2459</v>
      </c>
      <c r="EE2" s="8" t="s">
        <v>2460</v>
      </c>
      <c r="EF2" s="8" t="s">
        <v>2461</v>
      </c>
      <c r="EG2" s="17" t="s">
        <v>2462</v>
      </c>
      <c r="EH2" s="17" t="s">
        <v>2463</v>
      </c>
      <c r="EI2" s="8" t="s">
        <v>2464</v>
      </c>
      <c r="EJ2" s="8" t="s">
        <v>2465</v>
      </c>
      <c r="EK2" s="8" t="s">
        <v>2466</v>
      </c>
      <c r="EL2" s="17" t="s">
        <v>2467</v>
      </c>
      <c r="EM2" s="17" t="s">
        <v>2468</v>
      </c>
      <c r="EN2" s="8" t="s">
        <v>2469</v>
      </c>
      <c r="EO2" s="8" t="s">
        <v>2470</v>
      </c>
      <c r="EP2" s="17" t="s">
        <v>2471</v>
      </c>
      <c r="EQ2" s="17" t="s">
        <v>2472</v>
      </c>
      <c r="ER2" s="8" t="s">
        <v>2473</v>
      </c>
      <c r="ES2" s="8" t="s">
        <v>2474</v>
      </c>
      <c r="ET2" s="17" t="s">
        <v>2475</v>
      </c>
      <c r="EU2" s="17" t="s">
        <v>2476</v>
      </c>
      <c r="EV2" s="8" t="s">
        <v>2477</v>
      </c>
      <c r="EW2" s="8" t="s">
        <v>2478</v>
      </c>
      <c r="EX2" s="17" t="s">
        <v>2479</v>
      </c>
      <c r="EY2" s="17" t="s">
        <v>2480</v>
      </c>
      <c r="EZ2" s="8" t="s">
        <v>2481</v>
      </c>
      <c r="FA2" s="8" t="s">
        <v>2482</v>
      </c>
      <c r="FB2" s="17" t="s">
        <v>2483</v>
      </c>
      <c r="FC2" s="17" t="s">
        <v>2484</v>
      </c>
      <c r="FD2" s="8" t="s">
        <v>2485</v>
      </c>
      <c r="FE2" s="17" t="s">
        <v>2486</v>
      </c>
      <c r="FF2" s="17" t="s">
        <v>2487</v>
      </c>
      <c r="FG2" s="8" t="s">
        <v>2488</v>
      </c>
      <c r="FH2" s="8" t="s">
        <v>2489</v>
      </c>
      <c r="FI2" s="17" t="s">
        <v>2490</v>
      </c>
      <c r="FJ2" s="8" t="s">
        <v>2491</v>
      </c>
    </row>
    <row r="3" spans="1:166" ht="114.75" x14ac:dyDescent="0.2">
      <c r="A3" s="6" t="s">
        <v>69</v>
      </c>
      <c r="B3" s="7" t="s">
        <v>2925</v>
      </c>
      <c r="D3" s="7" t="s">
        <v>334</v>
      </c>
      <c r="G3" s="7" t="s">
        <v>1328</v>
      </c>
      <c r="K3" s="7" t="s">
        <v>1477</v>
      </c>
      <c r="V3" s="7" t="s">
        <v>2896</v>
      </c>
      <c r="X3" s="7" t="s">
        <v>1344</v>
      </c>
      <c r="AE3" s="7" t="s">
        <v>334</v>
      </c>
      <c r="AH3" s="7" t="s">
        <v>1372</v>
      </c>
      <c r="AJ3" s="13">
        <v>100</v>
      </c>
      <c r="AK3" s="7">
        <v>18</v>
      </c>
      <c r="AM3" s="7" t="s">
        <v>334</v>
      </c>
      <c r="AP3" s="7" t="s">
        <v>1372</v>
      </c>
      <c r="AR3" s="13">
        <v>100</v>
      </c>
      <c r="AS3" s="7">
        <v>18</v>
      </c>
      <c r="AU3" s="7" t="s">
        <v>334</v>
      </c>
      <c r="AX3" s="7" t="s">
        <v>1372</v>
      </c>
      <c r="AZ3" s="13">
        <v>100</v>
      </c>
      <c r="BA3" s="7">
        <v>18</v>
      </c>
      <c r="BC3" s="7" t="s">
        <v>334</v>
      </c>
      <c r="BE3" s="7" t="s">
        <v>334</v>
      </c>
      <c r="BH3" s="7" t="s">
        <v>334</v>
      </c>
      <c r="BK3" s="7" t="s">
        <v>1372</v>
      </c>
      <c r="BM3" s="13">
        <v>100</v>
      </c>
      <c r="BN3" s="7">
        <v>18</v>
      </c>
      <c r="BP3" s="7" t="s">
        <v>334</v>
      </c>
      <c r="CC3" s="7" t="s">
        <v>334</v>
      </c>
      <c r="CF3" s="7" t="s">
        <v>2983</v>
      </c>
      <c r="CH3" s="7" t="s">
        <v>251</v>
      </c>
      <c r="CI3" s="7" t="s">
        <v>1331</v>
      </c>
      <c r="CJ3" s="7" t="s">
        <v>1332</v>
      </c>
      <c r="DV3" s="7" t="s">
        <v>251</v>
      </c>
      <c r="DW3" s="7" t="s">
        <v>251</v>
      </c>
      <c r="DX3" s="7" t="s">
        <v>334</v>
      </c>
      <c r="EI3" s="7" t="s">
        <v>3021</v>
      </c>
      <c r="EK3" s="7" t="s">
        <v>1408</v>
      </c>
      <c r="EL3" s="7">
        <v>5</v>
      </c>
      <c r="ER3" s="7">
        <v>10</v>
      </c>
      <c r="EW3" s="7">
        <v>20</v>
      </c>
      <c r="EZ3" s="7">
        <v>2</v>
      </c>
      <c r="FD3" s="7" t="s">
        <v>251</v>
      </c>
      <c r="FG3" s="7" t="s">
        <v>1338</v>
      </c>
      <c r="FI3" s="7" t="s">
        <v>1339</v>
      </c>
    </row>
    <row r="4" spans="1:166" ht="38.25" x14ac:dyDescent="0.2">
      <c r="A4" s="6" t="s">
        <v>45</v>
      </c>
      <c r="B4" s="7" t="s">
        <v>2946</v>
      </c>
      <c r="D4" s="7" t="s">
        <v>334</v>
      </c>
      <c r="G4" s="7" t="s">
        <v>1328</v>
      </c>
      <c r="K4" s="7" t="s">
        <v>1436</v>
      </c>
      <c r="V4" s="7" t="s">
        <v>2902</v>
      </c>
      <c r="AA4" s="7" t="s">
        <v>334</v>
      </c>
      <c r="AC4" s="7" t="s">
        <v>334</v>
      </c>
      <c r="AJ4" s="13"/>
      <c r="AR4" s="13"/>
      <c r="AU4" s="7" t="s">
        <v>334</v>
      </c>
      <c r="AX4" s="7" t="s">
        <v>1353</v>
      </c>
      <c r="AY4" s="7">
        <v>1</v>
      </c>
      <c r="AZ4" s="13">
        <v>100</v>
      </c>
      <c r="BA4" s="7">
        <v>9</v>
      </c>
      <c r="BB4" s="7">
        <v>0</v>
      </c>
      <c r="BC4" s="7" t="s">
        <v>334</v>
      </c>
      <c r="BE4" s="7" t="s">
        <v>334</v>
      </c>
      <c r="BH4" s="7" t="s">
        <v>334</v>
      </c>
      <c r="BK4" s="7" t="s">
        <v>1353</v>
      </c>
      <c r="BL4" s="7">
        <v>1</v>
      </c>
      <c r="BM4" s="13">
        <v>100</v>
      </c>
      <c r="BN4" s="7">
        <v>9</v>
      </c>
      <c r="BO4" s="7">
        <v>0</v>
      </c>
      <c r="EG4" s="7" t="s">
        <v>1336</v>
      </c>
      <c r="EH4" s="7" t="s">
        <v>1353</v>
      </c>
      <c r="EI4" s="7" t="s">
        <v>3014</v>
      </c>
      <c r="EK4" s="7" t="s">
        <v>356</v>
      </c>
      <c r="FG4" s="7" t="s">
        <v>1338</v>
      </c>
      <c r="FI4" s="7" t="s">
        <v>1339</v>
      </c>
    </row>
    <row r="5" spans="1:166" ht="51" x14ac:dyDescent="0.2">
      <c r="A5" s="6" t="s">
        <v>18</v>
      </c>
      <c r="B5" s="7" t="s">
        <v>2924</v>
      </c>
      <c r="D5" s="7" t="s">
        <v>334</v>
      </c>
      <c r="G5" s="7" t="s">
        <v>1328</v>
      </c>
      <c r="K5" s="7" t="s">
        <v>1361</v>
      </c>
      <c r="V5" s="7" t="s">
        <v>753</v>
      </c>
      <c r="X5" s="7" t="s">
        <v>1330</v>
      </c>
      <c r="AA5" s="7" t="s">
        <v>334</v>
      </c>
      <c r="AC5" s="7" t="s">
        <v>334</v>
      </c>
      <c r="AE5" s="7" t="s">
        <v>358</v>
      </c>
      <c r="AF5" s="7">
        <v>91</v>
      </c>
      <c r="AH5" s="7" t="s">
        <v>1331</v>
      </c>
      <c r="AI5" s="7">
        <v>17</v>
      </c>
      <c r="AR5" s="13"/>
      <c r="AU5" s="7" t="s">
        <v>358</v>
      </c>
      <c r="AV5" s="7">
        <v>91</v>
      </c>
      <c r="AX5" s="7" t="s">
        <v>1052</v>
      </c>
      <c r="AZ5" s="13"/>
      <c r="BB5" s="7">
        <v>9</v>
      </c>
      <c r="BC5" s="7" t="s">
        <v>334</v>
      </c>
      <c r="BW5" s="13"/>
      <c r="CC5" s="7" t="s">
        <v>334</v>
      </c>
      <c r="CF5" s="7" t="s">
        <v>2989</v>
      </c>
      <c r="CH5" s="7" t="s">
        <v>251</v>
      </c>
      <c r="CI5" s="7" t="s">
        <v>1331</v>
      </c>
      <c r="CJ5" s="7" t="s">
        <v>1362</v>
      </c>
      <c r="DV5" s="7" t="s">
        <v>334</v>
      </c>
      <c r="DW5" s="7" t="s">
        <v>334</v>
      </c>
      <c r="DX5" s="7" t="s">
        <v>251</v>
      </c>
      <c r="DY5" s="7" t="s">
        <v>1331</v>
      </c>
      <c r="DZ5" s="7" t="s">
        <v>1363</v>
      </c>
      <c r="EI5" s="7" t="s">
        <v>3023</v>
      </c>
      <c r="EJ5" s="7" t="s">
        <v>1364</v>
      </c>
      <c r="EK5" s="7" t="s">
        <v>1365</v>
      </c>
      <c r="EY5" s="7">
        <v>60</v>
      </c>
      <c r="FG5" s="7" t="s">
        <v>1338</v>
      </c>
      <c r="FI5" s="7" t="s">
        <v>1354</v>
      </c>
    </row>
    <row r="6" spans="1:166" ht="76.5" x14ac:dyDescent="0.2">
      <c r="A6" s="6" t="s">
        <v>30</v>
      </c>
      <c r="B6" s="7" t="s">
        <v>2933</v>
      </c>
      <c r="D6" s="7" t="s">
        <v>334</v>
      </c>
      <c r="G6" s="7" t="s">
        <v>1340</v>
      </c>
      <c r="I6" s="7" t="s">
        <v>1399</v>
      </c>
      <c r="L6" s="7" t="s">
        <v>251</v>
      </c>
      <c r="M6" s="7">
        <v>25</v>
      </c>
      <c r="N6" s="7" t="s">
        <v>1400</v>
      </c>
      <c r="P6" s="7" t="s">
        <v>251</v>
      </c>
      <c r="Q6" s="7">
        <v>15</v>
      </c>
      <c r="R6" s="7" t="s">
        <v>1038</v>
      </c>
      <c r="T6" s="7" t="s">
        <v>251</v>
      </c>
      <c r="U6" s="7" t="s">
        <v>1401</v>
      </c>
      <c r="V6" s="7" t="s">
        <v>753</v>
      </c>
      <c r="X6" s="7" t="s">
        <v>1350</v>
      </c>
      <c r="AA6" s="7" t="s">
        <v>251</v>
      </c>
      <c r="AB6" s="7">
        <v>5</v>
      </c>
      <c r="AC6" s="7" t="s">
        <v>251</v>
      </c>
      <c r="AD6" s="7">
        <v>5</v>
      </c>
      <c r="AE6" s="7" t="s">
        <v>334</v>
      </c>
      <c r="AH6" s="7" t="s">
        <v>1331</v>
      </c>
      <c r="AI6" s="7">
        <v>24</v>
      </c>
      <c r="AJ6" s="13"/>
      <c r="AM6" s="7" t="s">
        <v>334</v>
      </c>
      <c r="AP6" s="7" t="s">
        <v>1331</v>
      </c>
      <c r="AQ6" s="7">
        <v>18</v>
      </c>
      <c r="AR6" s="13"/>
      <c r="AZ6" s="13"/>
      <c r="BE6" s="7" t="s">
        <v>334</v>
      </c>
      <c r="BH6" s="7" t="s">
        <v>251</v>
      </c>
      <c r="BI6" s="7" t="s">
        <v>1402</v>
      </c>
      <c r="BK6" s="7" t="s">
        <v>1331</v>
      </c>
      <c r="BL6" s="7">
        <v>18</v>
      </c>
      <c r="BM6" s="13"/>
      <c r="BP6" s="7" t="s">
        <v>334</v>
      </c>
      <c r="BS6" s="7" t="s">
        <v>2978</v>
      </c>
      <c r="BU6" s="7" t="s">
        <v>1331</v>
      </c>
      <c r="BV6" s="7">
        <v>20</v>
      </c>
      <c r="BW6" s="13"/>
      <c r="BZ6" s="7" t="s">
        <v>334</v>
      </c>
      <c r="CA6" s="7" t="s">
        <v>334</v>
      </c>
      <c r="CC6" s="7" t="s">
        <v>334</v>
      </c>
      <c r="CF6" s="7" t="s">
        <v>2996</v>
      </c>
      <c r="CH6" s="7" t="s">
        <v>251</v>
      </c>
      <c r="CI6" s="7" t="s">
        <v>1331</v>
      </c>
      <c r="CJ6" s="7" t="s">
        <v>1332</v>
      </c>
      <c r="DV6" s="7" t="s">
        <v>334</v>
      </c>
      <c r="DW6" s="7" t="s">
        <v>334</v>
      </c>
      <c r="DX6" s="7" t="s">
        <v>334</v>
      </c>
      <c r="EI6" s="7" t="s">
        <v>3025</v>
      </c>
      <c r="EJ6" s="7" t="s">
        <v>1403</v>
      </c>
      <c r="EK6" s="7" t="s">
        <v>356</v>
      </c>
      <c r="EL6" s="7">
        <v>5</v>
      </c>
      <c r="EM6" s="7">
        <v>5</v>
      </c>
      <c r="ER6" s="7">
        <v>5</v>
      </c>
      <c r="ES6" s="7">
        <v>5</v>
      </c>
      <c r="EZ6" s="7">
        <v>0</v>
      </c>
      <c r="FA6" s="7">
        <v>90</v>
      </c>
      <c r="FD6" s="7" t="s">
        <v>251</v>
      </c>
      <c r="FG6" s="7" t="s">
        <v>1338</v>
      </c>
      <c r="FI6" s="7" t="s">
        <v>1346</v>
      </c>
    </row>
    <row r="7" spans="1:166" ht="102" x14ac:dyDescent="0.2">
      <c r="A7" s="6" t="s">
        <v>66</v>
      </c>
      <c r="B7" s="7" t="s">
        <v>2960</v>
      </c>
      <c r="D7" s="7" t="s">
        <v>334</v>
      </c>
      <c r="G7" s="7" t="s">
        <v>1340</v>
      </c>
      <c r="I7" s="7" t="s">
        <v>1371</v>
      </c>
      <c r="V7" s="7" t="s">
        <v>753</v>
      </c>
      <c r="X7" s="7" t="s">
        <v>1350</v>
      </c>
      <c r="AA7" s="7" t="s">
        <v>334</v>
      </c>
      <c r="AC7" s="7" t="s">
        <v>334</v>
      </c>
      <c r="AE7" s="7" t="s">
        <v>358</v>
      </c>
      <c r="AF7" s="7">
        <v>6</v>
      </c>
      <c r="AH7" s="7" t="s">
        <v>1331</v>
      </c>
      <c r="AI7" s="7">
        <v>20</v>
      </c>
      <c r="AJ7" s="13"/>
      <c r="AM7" s="7" t="s">
        <v>358</v>
      </c>
      <c r="AN7" s="7">
        <v>6</v>
      </c>
      <c r="AP7" s="7" t="s">
        <v>1331</v>
      </c>
      <c r="AQ7" s="7">
        <v>20</v>
      </c>
      <c r="AR7" s="13"/>
      <c r="AU7" s="7" t="s">
        <v>358</v>
      </c>
      <c r="AV7" s="7">
        <v>6</v>
      </c>
      <c r="AX7" s="7" t="s">
        <v>1331</v>
      </c>
      <c r="AY7" s="7">
        <v>20</v>
      </c>
      <c r="AZ7" s="13"/>
      <c r="BC7" s="7" t="s">
        <v>334</v>
      </c>
      <c r="BE7" s="7" t="s">
        <v>358</v>
      </c>
      <c r="BF7" s="7">
        <v>6</v>
      </c>
      <c r="BH7" s="7" t="s">
        <v>334</v>
      </c>
      <c r="BK7" s="7" t="s">
        <v>1331</v>
      </c>
      <c r="BL7" s="7">
        <v>20</v>
      </c>
      <c r="BM7" s="13"/>
      <c r="BP7" s="7" t="s">
        <v>358</v>
      </c>
      <c r="BQ7" s="7">
        <v>12</v>
      </c>
      <c r="BS7" s="7" t="s">
        <v>2984</v>
      </c>
      <c r="BU7" s="7" t="s">
        <v>1331</v>
      </c>
      <c r="BV7" s="7">
        <v>12</v>
      </c>
      <c r="BZ7" s="7" t="s">
        <v>251</v>
      </c>
      <c r="CA7" s="7" t="s">
        <v>334</v>
      </c>
      <c r="CC7" s="7" t="s">
        <v>334</v>
      </c>
      <c r="CF7" s="7" t="s">
        <v>3001</v>
      </c>
      <c r="CH7" s="7" t="s">
        <v>251</v>
      </c>
      <c r="CI7" s="7" t="s">
        <v>1331</v>
      </c>
      <c r="CJ7" s="7" t="s">
        <v>1088</v>
      </c>
      <c r="DV7" s="7" t="s">
        <v>334</v>
      </c>
      <c r="DW7" s="7" t="s">
        <v>334</v>
      </c>
      <c r="DX7" s="7" t="s">
        <v>334</v>
      </c>
      <c r="EI7" s="7" t="s">
        <v>3019</v>
      </c>
      <c r="EK7" s="7" t="s">
        <v>356</v>
      </c>
      <c r="ER7" s="7">
        <v>30</v>
      </c>
      <c r="EX7" s="7">
        <v>10</v>
      </c>
      <c r="FA7" s="7">
        <v>180</v>
      </c>
      <c r="FD7" s="7" t="s">
        <v>334</v>
      </c>
      <c r="FG7" s="7" t="s">
        <v>1338</v>
      </c>
      <c r="FI7" s="7" t="s">
        <v>1346</v>
      </c>
    </row>
    <row r="8" spans="1:166" ht="25.5" x14ac:dyDescent="0.2">
      <c r="A8" s="6" t="s">
        <v>34</v>
      </c>
      <c r="B8" s="7" t="s">
        <v>356</v>
      </c>
      <c r="AJ8" s="13"/>
      <c r="AR8" s="13"/>
      <c r="AZ8" s="13"/>
      <c r="BM8" s="13"/>
      <c r="BW8" s="13"/>
      <c r="FG8" s="7" t="s">
        <v>1338</v>
      </c>
      <c r="FI8" s="7" t="s">
        <v>1339</v>
      </c>
    </row>
    <row r="9" spans="1:166" ht="89.25" x14ac:dyDescent="0.2">
      <c r="A9" s="6" t="s">
        <v>31</v>
      </c>
      <c r="B9" s="7" t="s">
        <v>2934</v>
      </c>
      <c r="D9" s="7" t="s">
        <v>334</v>
      </c>
      <c r="G9" s="7" t="s">
        <v>1328</v>
      </c>
      <c r="K9" s="7" t="s">
        <v>1404</v>
      </c>
      <c r="V9" s="7" t="s">
        <v>2970</v>
      </c>
      <c r="X9" s="7" t="s">
        <v>1350</v>
      </c>
      <c r="AA9" s="7" t="s">
        <v>334</v>
      </c>
      <c r="AC9" s="7" t="s">
        <v>334</v>
      </c>
      <c r="AE9" s="7" t="s">
        <v>358</v>
      </c>
      <c r="AF9" s="7">
        <v>365</v>
      </c>
      <c r="AH9" s="7" t="s">
        <v>1372</v>
      </c>
      <c r="AJ9" s="13">
        <v>100</v>
      </c>
      <c r="AK9" s="7">
        <v>26</v>
      </c>
      <c r="AM9" s="7" t="s">
        <v>358</v>
      </c>
      <c r="AN9" s="7">
        <v>365</v>
      </c>
      <c r="AP9" s="7" t="s">
        <v>1331</v>
      </c>
      <c r="AQ9" s="7">
        <v>26</v>
      </c>
      <c r="AR9" s="13"/>
      <c r="AU9" s="7" t="s">
        <v>358</v>
      </c>
      <c r="AX9" s="7" t="s">
        <v>1331</v>
      </c>
      <c r="AY9" s="7">
        <v>26</v>
      </c>
      <c r="AZ9" s="13"/>
      <c r="BC9" s="7" t="s">
        <v>334</v>
      </c>
      <c r="BE9" s="7" t="s">
        <v>358</v>
      </c>
      <c r="BF9" s="7">
        <v>365</v>
      </c>
      <c r="BH9" s="7" t="s">
        <v>334</v>
      </c>
      <c r="BK9" s="7" t="s">
        <v>1331</v>
      </c>
      <c r="BL9" s="7">
        <v>26</v>
      </c>
      <c r="BM9" s="13"/>
      <c r="BP9" s="7" t="s">
        <v>334</v>
      </c>
      <c r="BS9" s="7" t="s">
        <v>130</v>
      </c>
      <c r="BT9" s="7" t="s">
        <v>1405</v>
      </c>
      <c r="BU9" s="7" t="s">
        <v>1052</v>
      </c>
      <c r="BW9" s="13"/>
      <c r="BZ9" s="7" t="s">
        <v>251</v>
      </c>
      <c r="CA9" s="7" t="s">
        <v>334</v>
      </c>
      <c r="CC9" s="7" t="s">
        <v>334</v>
      </c>
      <c r="CF9" s="7" t="s">
        <v>2992</v>
      </c>
      <c r="CH9" s="7" t="s">
        <v>334</v>
      </c>
      <c r="CL9" s="7" t="s">
        <v>1406</v>
      </c>
      <c r="CM9" s="7" t="s">
        <v>1406</v>
      </c>
      <c r="CN9" s="7" t="s">
        <v>1088</v>
      </c>
      <c r="CP9" s="7" t="s">
        <v>1088</v>
      </c>
      <c r="CQ9" s="7" t="s">
        <v>1088</v>
      </c>
      <c r="CS9" s="7" t="s">
        <v>1356</v>
      </c>
      <c r="CT9" s="7" t="s">
        <v>1356</v>
      </c>
      <c r="CU9" s="7" t="s">
        <v>1356</v>
      </c>
      <c r="CW9" s="7" t="s">
        <v>1088</v>
      </c>
      <c r="CX9" s="7" t="s">
        <v>1088</v>
      </c>
      <c r="CY9" s="7" t="s">
        <v>1088</v>
      </c>
      <c r="CZ9" s="7" t="s">
        <v>1088</v>
      </c>
      <c r="DV9" s="7" t="s">
        <v>334</v>
      </c>
      <c r="DW9" s="7" t="s">
        <v>334</v>
      </c>
      <c r="DX9" s="7" t="s">
        <v>334</v>
      </c>
      <c r="EG9" s="7" t="s">
        <v>1356</v>
      </c>
      <c r="EH9" s="7" t="s">
        <v>1052</v>
      </c>
      <c r="EI9" s="7" t="s">
        <v>3012</v>
      </c>
      <c r="EK9" s="7" t="s">
        <v>356</v>
      </c>
      <c r="EW9" s="7">
        <v>365</v>
      </c>
      <c r="EX9" s="7">
        <v>182</v>
      </c>
      <c r="EY9" s="7">
        <v>0</v>
      </c>
      <c r="FA9" s="7">
        <v>365</v>
      </c>
      <c r="FD9" s="7" t="s">
        <v>251</v>
      </c>
      <c r="FG9" s="7" t="s">
        <v>1338</v>
      </c>
      <c r="FI9" s="7" t="s">
        <v>1354</v>
      </c>
    </row>
    <row r="10" spans="1:166" ht="38.25" x14ac:dyDescent="0.2">
      <c r="A10" s="6" t="s">
        <v>46</v>
      </c>
      <c r="B10" s="7" t="s">
        <v>2921</v>
      </c>
      <c r="D10" s="7" t="s">
        <v>334</v>
      </c>
      <c r="G10" s="7" t="s">
        <v>1437</v>
      </c>
      <c r="K10" s="7" t="s">
        <v>1438</v>
      </c>
      <c r="V10" s="7" t="s">
        <v>2915</v>
      </c>
      <c r="X10" s="7" t="s">
        <v>1350</v>
      </c>
      <c r="AA10" s="7" t="s">
        <v>334</v>
      </c>
      <c r="AC10" s="7" t="s">
        <v>334</v>
      </c>
      <c r="AE10" s="7" t="s">
        <v>334</v>
      </c>
      <c r="AH10" s="7" t="s">
        <v>1331</v>
      </c>
      <c r="AI10" s="7">
        <v>52</v>
      </c>
      <c r="AJ10" s="13"/>
      <c r="AR10" s="13"/>
      <c r="AU10" s="7" t="s">
        <v>334</v>
      </c>
      <c r="AX10" s="7" t="s">
        <v>1331</v>
      </c>
      <c r="AY10" s="7">
        <v>52</v>
      </c>
      <c r="AZ10" s="13"/>
      <c r="BC10" s="7" t="s">
        <v>334</v>
      </c>
      <c r="BE10" s="7" t="s">
        <v>334</v>
      </c>
      <c r="BH10" s="7" t="s">
        <v>334</v>
      </c>
      <c r="BK10" s="7" t="s">
        <v>1331</v>
      </c>
      <c r="BL10" s="7">
        <v>52</v>
      </c>
      <c r="BM10" s="13"/>
      <c r="FG10" s="7" t="s">
        <v>1338</v>
      </c>
      <c r="FI10" s="7" t="s">
        <v>1339</v>
      </c>
      <c r="FJ10" s="7" t="s">
        <v>1439</v>
      </c>
    </row>
    <row r="11" spans="1:166" ht="63.75" x14ac:dyDescent="0.2">
      <c r="A11" s="6" t="s">
        <v>42</v>
      </c>
      <c r="B11" s="7" t="s">
        <v>2943</v>
      </c>
      <c r="D11" s="7" t="s">
        <v>334</v>
      </c>
      <c r="G11" s="7" t="s">
        <v>1328</v>
      </c>
      <c r="K11" s="7" t="s">
        <v>1428</v>
      </c>
      <c r="L11" s="7" t="s">
        <v>251</v>
      </c>
      <c r="M11" s="7" t="s">
        <v>1429</v>
      </c>
      <c r="N11" s="7" t="s">
        <v>1038</v>
      </c>
      <c r="P11" s="7" t="s">
        <v>251</v>
      </c>
      <c r="R11" s="7" t="s">
        <v>1038</v>
      </c>
      <c r="T11" s="7" t="s">
        <v>334</v>
      </c>
      <c r="V11" s="7" t="s">
        <v>753</v>
      </c>
      <c r="X11" s="7" t="s">
        <v>1350</v>
      </c>
      <c r="AA11" s="7" t="s">
        <v>334</v>
      </c>
      <c r="AC11" s="7" t="s">
        <v>334</v>
      </c>
      <c r="AJ11" s="13"/>
      <c r="AR11" s="13"/>
      <c r="AU11" s="7" t="s">
        <v>358</v>
      </c>
      <c r="AV11" s="7">
        <v>180</v>
      </c>
      <c r="AX11" s="7" t="s">
        <v>1372</v>
      </c>
      <c r="AY11" s="7">
        <v>16</v>
      </c>
      <c r="AZ11" s="13"/>
      <c r="BC11" s="7" t="s">
        <v>345</v>
      </c>
      <c r="BE11" s="7" t="s">
        <v>358</v>
      </c>
      <c r="BF11" s="7">
        <v>180</v>
      </c>
      <c r="BH11" s="7" t="s">
        <v>334</v>
      </c>
      <c r="BK11" s="7" t="s">
        <v>1372</v>
      </c>
      <c r="BL11" s="7">
        <v>16</v>
      </c>
      <c r="BM11" s="13"/>
      <c r="CC11" s="7" t="s">
        <v>334</v>
      </c>
      <c r="CF11" s="7" t="s">
        <v>2972</v>
      </c>
      <c r="CH11" s="7" t="s">
        <v>251</v>
      </c>
      <c r="CI11" s="7" t="s">
        <v>1331</v>
      </c>
      <c r="CJ11" s="7" t="s">
        <v>1362</v>
      </c>
      <c r="DV11" s="7" t="s">
        <v>334</v>
      </c>
      <c r="DW11" s="7" t="s">
        <v>334</v>
      </c>
      <c r="DX11" s="7" t="s">
        <v>334</v>
      </c>
      <c r="EG11" s="7" t="s">
        <v>1356</v>
      </c>
      <c r="EH11" s="7" t="s">
        <v>1331</v>
      </c>
      <c r="EL11" s="7">
        <v>3</v>
      </c>
      <c r="EM11" s="7">
        <v>0</v>
      </c>
    </row>
    <row r="12" spans="1:166" ht="102" x14ac:dyDescent="0.2">
      <c r="A12" s="6" t="s">
        <v>33</v>
      </c>
      <c r="B12" s="7" t="s">
        <v>2936</v>
      </c>
      <c r="D12" s="7" t="s">
        <v>334</v>
      </c>
      <c r="G12" s="7" t="s">
        <v>1328</v>
      </c>
      <c r="K12" s="7" t="s">
        <v>1409</v>
      </c>
      <c r="V12" s="7" t="s">
        <v>130</v>
      </c>
      <c r="W12" s="7" t="s">
        <v>1410</v>
      </c>
      <c r="AA12" s="7" t="s">
        <v>334</v>
      </c>
      <c r="AC12" s="7" t="s">
        <v>334</v>
      </c>
      <c r="AE12" s="7" t="s">
        <v>334</v>
      </c>
      <c r="AH12" s="7" t="s">
        <v>1353</v>
      </c>
      <c r="AI12" s="7">
        <v>8</v>
      </c>
      <c r="AJ12" s="13"/>
      <c r="AM12" s="7" t="s">
        <v>334</v>
      </c>
      <c r="AP12" s="7" t="s">
        <v>1331</v>
      </c>
      <c r="AQ12" s="7">
        <v>6</v>
      </c>
      <c r="AR12" s="13"/>
      <c r="AU12" s="7" t="s">
        <v>334</v>
      </c>
      <c r="AX12" s="7" t="s">
        <v>1331</v>
      </c>
      <c r="AY12" s="7">
        <v>8</v>
      </c>
      <c r="AZ12" s="13"/>
      <c r="BC12" s="7" t="s">
        <v>334</v>
      </c>
      <c r="BE12" s="7" t="s">
        <v>334</v>
      </c>
      <c r="BH12" s="7" t="s">
        <v>334</v>
      </c>
      <c r="BK12" s="7" t="s">
        <v>1331</v>
      </c>
      <c r="BL12" s="7">
        <v>6</v>
      </c>
      <c r="BM12" s="13"/>
      <c r="BP12" s="7" t="s">
        <v>334</v>
      </c>
      <c r="BS12" s="7" t="s">
        <v>2979</v>
      </c>
      <c r="BW12" s="13"/>
      <c r="BZ12" s="7" t="s">
        <v>251</v>
      </c>
      <c r="CA12" s="7" t="s">
        <v>251</v>
      </c>
      <c r="CB12" s="7" t="s">
        <v>1411</v>
      </c>
      <c r="CC12" s="7" t="s">
        <v>334</v>
      </c>
      <c r="CF12" s="7" t="s">
        <v>3004</v>
      </c>
      <c r="CG12" s="7" t="s">
        <v>1412</v>
      </c>
      <c r="CH12" s="7" t="s">
        <v>251</v>
      </c>
      <c r="CI12" s="7" t="s">
        <v>1331</v>
      </c>
      <c r="CJ12" s="7" t="s">
        <v>1362</v>
      </c>
      <c r="DV12" s="7" t="s">
        <v>334</v>
      </c>
      <c r="DW12" s="7" t="s">
        <v>334</v>
      </c>
      <c r="DX12" s="7" t="s">
        <v>251</v>
      </c>
      <c r="DY12" s="7" t="s">
        <v>1331</v>
      </c>
      <c r="DZ12" s="7" t="s">
        <v>1363</v>
      </c>
      <c r="EG12" s="7" t="s">
        <v>1397</v>
      </c>
      <c r="EH12" s="7" t="s">
        <v>1052</v>
      </c>
      <c r="EI12" s="7" t="s">
        <v>3013</v>
      </c>
      <c r="EK12" s="7" t="s">
        <v>356</v>
      </c>
      <c r="EL12" s="7">
        <v>1</v>
      </c>
      <c r="ER12" s="7">
        <v>15</v>
      </c>
      <c r="EV12" s="7">
        <v>26</v>
      </c>
      <c r="EX12" s="7">
        <v>12</v>
      </c>
      <c r="FA12" s="7">
        <v>365</v>
      </c>
      <c r="FD12" s="7" t="s">
        <v>251</v>
      </c>
      <c r="FG12" s="7" t="s">
        <v>1338</v>
      </c>
      <c r="FI12" s="7" t="s">
        <v>1354</v>
      </c>
    </row>
    <row r="13" spans="1:166" ht="114.75" x14ac:dyDescent="0.2">
      <c r="A13" s="6" t="s">
        <v>55</v>
      </c>
      <c r="B13" s="7" t="s">
        <v>2951</v>
      </c>
      <c r="D13" s="7" t="s">
        <v>334</v>
      </c>
      <c r="G13" s="7" t="s">
        <v>1328</v>
      </c>
      <c r="K13" s="7" t="s">
        <v>1453</v>
      </c>
      <c r="V13" s="7" t="s">
        <v>753</v>
      </c>
      <c r="AA13" s="7" t="s">
        <v>334</v>
      </c>
      <c r="AC13" s="7" t="s">
        <v>334</v>
      </c>
      <c r="AE13" s="7" t="s">
        <v>358</v>
      </c>
      <c r="AF13" s="7">
        <v>91</v>
      </c>
      <c r="AH13" s="7" t="s">
        <v>1331</v>
      </c>
      <c r="AI13" s="7">
        <v>25</v>
      </c>
      <c r="AJ13" s="13"/>
      <c r="AM13" s="7" t="s">
        <v>358</v>
      </c>
      <c r="AN13" s="7">
        <v>91</v>
      </c>
      <c r="AP13" s="7" t="s">
        <v>1331</v>
      </c>
      <c r="AQ13" s="7">
        <v>8</v>
      </c>
      <c r="AR13" s="13"/>
      <c r="AU13" s="7" t="s">
        <v>358</v>
      </c>
      <c r="AV13" s="7">
        <v>91</v>
      </c>
      <c r="AX13" s="7" t="s">
        <v>1331</v>
      </c>
      <c r="AY13" s="7">
        <v>8</v>
      </c>
      <c r="AZ13" s="13"/>
      <c r="BC13" s="7" t="s">
        <v>334</v>
      </c>
      <c r="BE13" s="7" t="s">
        <v>358</v>
      </c>
      <c r="BF13" s="7">
        <v>91</v>
      </c>
      <c r="BH13" s="7" t="s">
        <v>334</v>
      </c>
      <c r="BK13" s="7" t="s">
        <v>1331</v>
      </c>
      <c r="BL13" s="7">
        <v>8</v>
      </c>
      <c r="BM13" s="13"/>
      <c r="CC13" s="7" t="s">
        <v>334</v>
      </c>
      <c r="CF13" s="7" t="s">
        <v>2981</v>
      </c>
      <c r="CH13" s="7" t="s">
        <v>334</v>
      </c>
      <c r="CL13" s="7" t="s">
        <v>1377</v>
      </c>
      <c r="CM13" s="7" t="s">
        <v>1377</v>
      </c>
      <c r="CN13" s="7" t="s">
        <v>1377</v>
      </c>
      <c r="CO13" s="7" t="s">
        <v>1356</v>
      </c>
      <c r="CP13" s="7" t="s">
        <v>1377</v>
      </c>
      <c r="CQ13" s="7" t="s">
        <v>1377</v>
      </c>
      <c r="CS13" s="7" t="s">
        <v>1377</v>
      </c>
      <c r="CT13" s="7" t="s">
        <v>1377</v>
      </c>
      <c r="CU13" s="7" t="s">
        <v>1377</v>
      </c>
      <c r="CV13" s="7" t="s">
        <v>1356</v>
      </c>
      <c r="CW13" s="7" t="s">
        <v>1377</v>
      </c>
      <c r="CX13" s="7" t="s">
        <v>1377</v>
      </c>
      <c r="CY13" s="7" t="s">
        <v>1377</v>
      </c>
      <c r="CZ13" s="7" t="s">
        <v>1377</v>
      </c>
      <c r="DA13" s="7" t="s">
        <v>1356</v>
      </c>
      <c r="DB13" s="7" t="s">
        <v>1377</v>
      </c>
      <c r="DV13" s="7" t="s">
        <v>334</v>
      </c>
      <c r="DW13" s="7" t="s">
        <v>334</v>
      </c>
      <c r="DX13" s="7" t="s">
        <v>334</v>
      </c>
      <c r="FG13" s="7" t="s">
        <v>1338</v>
      </c>
      <c r="FI13" s="7" t="s">
        <v>1454</v>
      </c>
    </row>
    <row r="14" spans="1:166" ht="63.75" x14ac:dyDescent="0.2">
      <c r="A14" s="6" t="s">
        <v>48</v>
      </c>
      <c r="B14" s="7" t="s">
        <v>2948</v>
      </c>
      <c r="D14" s="7" t="s">
        <v>358</v>
      </c>
      <c r="E14" s="7">
        <v>365</v>
      </c>
      <c r="G14" s="7" t="s">
        <v>1328</v>
      </c>
      <c r="K14" s="7" t="s">
        <v>1440</v>
      </c>
      <c r="V14" s="7" t="s">
        <v>2899</v>
      </c>
      <c r="X14" s="7" t="s">
        <v>1350</v>
      </c>
      <c r="AA14" s="7" t="s">
        <v>334</v>
      </c>
      <c r="AC14" s="7" t="s">
        <v>334</v>
      </c>
      <c r="AE14" s="7" t="s">
        <v>334</v>
      </c>
      <c r="AH14" s="7" t="s">
        <v>1353</v>
      </c>
      <c r="AI14" s="7">
        <v>14</v>
      </c>
      <c r="AJ14" s="13">
        <v>100</v>
      </c>
      <c r="AK14" s="7">
        <v>0</v>
      </c>
      <c r="AL14" s="7">
        <v>0</v>
      </c>
      <c r="AR14" s="13"/>
      <c r="AU14" s="7" t="s">
        <v>371</v>
      </c>
      <c r="AW14" s="7" t="s">
        <v>1441</v>
      </c>
      <c r="AX14" s="7" t="s">
        <v>1353</v>
      </c>
      <c r="AY14" s="7">
        <v>8</v>
      </c>
      <c r="AZ14" s="13">
        <v>100</v>
      </c>
      <c r="BA14" s="7">
        <v>0</v>
      </c>
      <c r="BB14" s="7">
        <v>0</v>
      </c>
      <c r="BC14" s="7" t="s">
        <v>334</v>
      </c>
      <c r="BE14" s="7" t="s">
        <v>371</v>
      </c>
      <c r="BG14" s="7" t="s">
        <v>1441</v>
      </c>
      <c r="BH14" s="7" t="s">
        <v>251</v>
      </c>
      <c r="BI14" s="7" t="s">
        <v>130</v>
      </c>
      <c r="BJ14" s="7">
        <v>17</v>
      </c>
      <c r="BK14" s="7" t="s">
        <v>1353</v>
      </c>
      <c r="BL14" s="7">
        <v>8</v>
      </c>
      <c r="BM14" s="13">
        <v>100</v>
      </c>
      <c r="BN14" s="7">
        <v>0</v>
      </c>
      <c r="BO14" s="7">
        <v>0</v>
      </c>
      <c r="CC14" s="7" t="s">
        <v>334</v>
      </c>
      <c r="CF14" s="7" t="s">
        <v>2997</v>
      </c>
      <c r="CH14" s="7" t="s">
        <v>251</v>
      </c>
      <c r="CI14" s="7" t="s">
        <v>1331</v>
      </c>
      <c r="CJ14" s="7" t="s">
        <v>1362</v>
      </c>
      <c r="DV14" s="7" t="s">
        <v>334</v>
      </c>
      <c r="DW14" s="7" t="s">
        <v>334</v>
      </c>
      <c r="DX14" s="7" t="s">
        <v>334</v>
      </c>
      <c r="EI14" s="7" t="s">
        <v>3017</v>
      </c>
      <c r="EK14" s="7" t="s">
        <v>356</v>
      </c>
      <c r="EL14" s="7">
        <v>4</v>
      </c>
      <c r="EM14" s="7">
        <v>0</v>
      </c>
      <c r="EZ14" s="7">
        <v>0</v>
      </c>
      <c r="FA14" s="7">
        <v>365</v>
      </c>
      <c r="FG14" s="7" t="s">
        <v>1338</v>
      </c>
      <c r="FI14" s="7" t="s">
        <v>1354</v>
      </c>
    </row>
    <row r="15" spans="1:166" ht="76.5" x14ac:dyDescent="0.2">
      <c r="A15" s="6" t="s">
        <v>57</v>
      </c>
      <c r="B15" s="7" t="s">
        <v>2953</v>
      </c>
      <c r="D15" s="7" t="s">
        <v>334</v>
      </c>
      <c r="G15" s="7" t="s">
        <v>1328</v>
      </c>
      <c r="K15" s="7" t="s">
        <v>1460</v>
      </c>
      <c r="V15" s="7" t="s">
        <v>753</v>
      </c>
      <c r="X15" s="7" t="s">
        <v>1350</v>
      </c>
      <c r="AA15" s="7" t="s">
        <v>334</v>
      </c>
      <c r="AC15" s="7" t="s">
        <v>334</v>
      </c>
      <c r="AE15" s="7" t="s">
        <v>358</v>
      </c>
      <c r="AF15" s="7">
        <v>91</v>
      </c>
      <c r="AH15" s="7" t="s">
        <v>1353</v>
      </c>
      <c r="AI15" s="7">
        <v>7</v>
      </c>
      <c r="AJ15" s="13">
        <v>100</v>
      </c>
      <c r="AK15" s="7">
        <v>0</v>
      </c>
      <c r="AL15" s="7">
        <v>0</v>
      </c>
      <c r="AM15" s="7" t="s">
        <v>358</v>
      </c>
      <c r="AN15" s="7">
        <v>91</v>
      </c>
      <c r="AP15" s="7" t="s">
        <v>1331</v>
      </c>
      <c r="AQ15" s="7">
        <v>16</v>
      </c>
      <c r="AR15" s="13"/>
      <c r="AU15" s="7" t="s">
        <v>358</v>
      </c>
      <c r="AV15" s="7">
        <v>91</v>
      </c>
      <c r="AX15" s="7" t="s">
        <v>1331</v>
      </c>
      <c r="AY15" s="7">
        <v>16</v>
      </c>
      <c r="AZ15" s="13"/>
      <c r="BC15" s="7" t="s">
        <v>334</v>
      </c>
      <c r="BM15" s="13"/>
      <c r="CC15" s="7" t="s">
        <v>334</v>
      </c>
      <c r="CF15" s="7" t="s">
        <v>2999</v>
      </c>
      <c r="CH15" s="7" t="s">
        <v>251</v>
      </c>
      <c r="CI15" s="7" t="s">
        <v>1331</v>
      </c>
      <c r="CJ15" s="7" t="s">
        <v>1356</v>
      </c>
      <c r="DV15" s="7" t="s">
        <v>334</v>
      </c>
      <c r="DW15" s="7" t="s">
        <v>334</v>
      </c>
      <c r="DX15" s="7" t="s">
        <v>334</v>
      </c>
      <c r="EI15" s="7" t="s">
        <v>3018</v>
      </c>
      <c r="EK15" s="7" t="s">
        <v>1337</v>
      </c>
      <c r="ES15" s="7">
        <v>0</v>
      </c>
      <c r="EV15" s="7">
        <v>0</v>
      </c>
      <c r="EZ15" s="7">
        <v>0</v>
      </c>
      <c r="FA15" s="7">
        <v>30</v>
      </c>
      <c r="FD15" s="7" t="s">
        <v>251</v>
      </c>
      <c r="FG15" s="7" t="s">
        <v>1338</v>
      </c>
      <c r="FI15" s="7" t="s">
        <v>1339</v>
      </c>
    </row>
    <row r="16" spans="1:166" ht="25.5" x14ac:dyDescent="0.2">
      <c r="A16" s="6" t="s">
        <v>54</v>
      </c>
      <c r="B16" s="7" t="s">
        <v>1452</v>
      </c>
      <c r="AJ16" s="13"/>
      <c r="AR16" s="13"/>
      <c r="AU16" s="7" t="s">
        <v>334</v>
      </c>
      <c r="AX16" s="7" t="s">
        <v>1331</v>
      </c>
      <c r="AY16" s="7">
        <v>16</v>
      </c>
      <c r="AZ16" s="13"/>
      <c r="BC16" s="7" t="s">
        <v>334</v>
      </c>
      <c r="BM16" s="13"/>
      <c r="FG16" s="7" t="s">
        <v>1338</v>
      </c>
      <c r="FI16" s="7" t="s">
        <v>1354</v>
      </c>
    </row>
    <row r="17" spans="1:166" ht="76.5" x14ac:dyDescent="0.2">
      <c r="A17" s="6" t="s">
        <v>23</v>
      </c>
      <c r="B17" s="7" t="s">
        <v>2928</v>
      </c>
      <c r="D17" s="7" t="s">
        <v>334</v>
      </c>
      <c r="G17" s="7" t="s">
        <v>1340</v>
      </c>
      <c r="I17" s="7" t="s">
        <v>1371</v>
      </c>
      <c r="V17" s="7" t="s">
        <v>753</v>
      </c>
      <c r="AA17" s="7" t="s">
        <v>334</v>
      </c>
      <c r="AC17" s="7" t="s">
        <v>334</v>
      </c>
      <c r="AE17" s="7" t="s">
        <v>334</v>
      </c>
      <c r="AH17" s="7" t="s">
        <v>1331</v>
      </c>
      <c r="AI17" s="7">
        <v>18</v>
      </c>
      <c r="AJ17" s="13"/>
      <c r="AR17" s="13"/>
      <c r="AZ17" s="13"/>
      <c r="BE17" s="7" t="s">
        <v>334</v>
      </c>
      <c r="BH17" s="7" t="s">
        <v>334</v>
      </c>
      <c r="BK17" s="7" t="s">
        <v>1331</v>
      </c>
      <c r="BL17" s="7">
        <v>10</v>
      </c>
      <c r="BM17" s="13"/>
      <c r="BP17" s="7" t="s">
        <v>334</v>
      </c>
      <c r="BS17" s="7" t="s">
        <v>2976</v>
      </c>
      <c r="BU17" s="7" t="s">
        <v>1331</v>
      </c>
      <c r="BV17" s="7">
        <v>4</v>
      </c>
      <c r="BW17" s="13"/>
      <c r="BZ17" s="7" t="s">
        <v>334</v>
      </c>
      <c r="CC17" s="7" t="s">
        <v>334</v>
      </c>
      <c r="CF17" s="7" t="s">
        <v>2993</v>
      </c>
      <c r="CH17" s="7" t="s">
        <v>251</v>
      </c>
      <c r="CI17" s="7" t="s">
        <v>1331</v>
      </c>
      <c r="CJ17" s="7" t="s">
        <v>1379</v>
      </c>
      <c r="DV17" s="7" t="s">
        <v>334</v>
      </c>
      <c r="DW17" s="7" t="s">
        <v>334</v>
      </c>
      <c r="DX17" s="7" t="s">
        <v>334</v>
      </c>
      <c r="EG17" s="7" t="s">
        <v>1336</v>
      </c>
      <c r="EH17" s="7" t="s">
        <v>1331</v>
      </c>
      <c r="EI17" s="7" t="s">
        <v>3008</v>
      </c>
      <c r="EK17" s="7" t="s">
        <v>1380</v>
      </c>
      <c r="ER17" s="7">
        <v>15</v>
      </c>
      <c r="FD17" s="7" t="s">
        <v>334</v>
      </c>
      <c r="FG17" s="7" t="s">
        <v>1338</v>
      </c>
      <c r="FI17" s="7" t="s">
        <v>1339</v>
      </c>
    </row>
    <row r="18" spans="1:166" ht="76.5" x14ac:dyDescent="0.2">
      <c r="A18" s="6" t="s">
        <v>27</v>
      </c>
      <c r="B18" s="7" t="s">
        <v>2931</v>
      </c>
      <c r="D18" s="7" t="s">
        <v>334</v>
      </c>
      <c r="G18" s="7" t="s">
        <v>1328</v>
      </c>
      <c r="V18" s="7" t="s">
        <v>2898</v>
      </c>
      <c r="X18" s="7" t="s">
        <v>1330</v>
      </c>
      <c r="AA18" s="7" t="s">
        <v>334</v>
      </c>
      <c r="AC18" s="7" t="s">
        <v>334</v>
      </c>
      <c r="AE18" s="7" t="s">
        <v>334</v>
      </c>
      <c r="AH18" s="7" t="s">
        <v>1372</v>
      </c>
      <c r="AJ18" s="13">
        <v>100</v>
      </c>
      <c r="AK18" s="7">
        <v>26</v>
      </c>
      <c r="AM18" s="7" t="s">
        <v>334</v>
      </c>
      <c r="AP18" s="7" t="s">
        <v>1372</v>
      </c>
      <c r="AR18" s="13">
        <v>100</v>
      </c>
      <c r="AS18" s="7">
        <v>26</v>
      </c>
      <c r="AU18" s="7" t="s">
        <v>334</v>
      </c>
      <c r="AX18" s="7" t="s">
        <v>1372</v>
      </c>
      <c r="AZ18" s="13">
        <v>100</v>
      </c>
      <c r="BA18" s="7">
        <v>26</v>
      </c>
      <c r="BC18" s="7" t="s">
        <v>334</v>
      </c>
      <c r="BE18" s="7" t="s">
        <v>334</v>
      </c>
      <c r="BH18" s="7" t="s">
        <v>334</v>
      </c>
      <c r="BK18" s="7" t="s">
        <v>1372</v>
      </c>
      <c r="BM18" s="13">
        <v>100</v>
      </c>
      <c r="BN18" s="7">
        <v>26</v>
      </c>
      <c r="BW18" s="13"/>
      <c r="CC18" s="7" t="s">
        <v>334</v>
      </c>
      <c r="CF18" s="7" t="s">
        <v>2994</v>
      </c>
      <c r="CH18" s="7" t="s">
        <v>334</v>
      </c>
      <c r="CL18" s="7" t="s">
        <v>1356</v>
      </c>
      <c r="CM18" s="7" t="s">
        <v>1356</v>
      </c>
      <c r="CN18" s="7" t="s">
        <v>1332</v>
      </c>
      <c r="CP18" s="7" t="s">
        <v>1362</v>
      </c>
      <c r="CQ18" s="7" t="s">
        <v>1332</v>
      </c>
      <c r="CS18" s="7" t="s">
        <v>1332</v>
      </c>
      <c r="CT18" s="7" t="s">
        <v>1362</v>
      </c>
      <c r="CW18" s="7" t="s">
        <v>1356</v>
      </c>
      <c r="CX18" s="7" t="s">
        <v>1356</v>
      </c>
      <c r="CY18" s="7" t="s">
        <v>1332</v>
      </c>
      <c r="CZ18" s="7" t="s">
        <v>1332</v>
      </c>
      <c r="DD18" s="7" t="s">
        <v>1386</v>
      </c>
      <c r="DE18" s="7" t="s">
        <v>1386</v>
      </c>
      <c r="DF18" s="7" t="s">
        <v>1386</v>
      </c>
      <c r="DH18" s="7" t="s">
        <v>1386</v>
      </c>
      <c r="DI18" s="7" t="s">
        <v>1386</v>
      </c>
      <c r="DK18" s="7" t="s">
        <v>1386</v>
      </c>
      <c r="DL18" s="7" t="s">
        <v>1386</v>
      </c>
      <c r="DO18" s="7" t="s">
        <v>1386</v>
      </c>
      <c r="DP18" s="7" t="s">
        <v>1386</v>
      </c>
      <c r="DQ18" s="7" t="s">
        <v>1386</v>
      </c>
      <c r="DR18" s="7" t="s">
        <v>1386</v>
      </c>
      <c r="DV18" s="7" t="s">
        <v>334</v>
      </c>
      <c r="DW18" s="7" t="s">
        <v>334</v>
      </c>
      <c r="DX18" s="7" t="s">
        <v>334</v>
      </c>
      <c r="EG18" s="7" t="s">
        <v>1336</v>
      </c>
      <c r="EH18" s="7" t="s">
        <v>1331</v>
      </c>
      <c r="EI18" s="7" t="s">
        <v>3010</v>
      </c>
      <c r="EK18" s="7" t="s">
        <v>356</v>
      </c>
      <c r="EX18" s="7">
        <v>20</v>
      </c>
      <c r="FI18" s="7" t="s">
        <v>1346</v>
      </c>
    </row>
    <row r="19" spans="1:166" ht="114.75" x14ac:dyDescent="0.2">
      <c r="A19" s="6" t="s">
        <v>63</v>
      </c>
      <c r="B19" s="7" t="s">
        <v>2969</v>
      </c>
      <c r="C19" s="7" t="s">
        <v>1466</v>
      </c>
      <c r="D19" s="7" t="s">
        <v>334</v>
      </c>
      <c r="G19" s="7" t="s">
        <v>1395</v>
      </c>
      <c r="K19" s="7" t="s">
        <v>1467</v>
      </c>
      <c r="V19" s="7" t="s">
        <v>130</v>
      </c>
      <c r="W19" s="7" t="s">
        <v>1468</v>
      </c>
      <c r="X19" s="7" t="s">
        <v>1350</v>
      </c>
      <c r="AA19" s="7" t="s">
        <v>334</v>
      </c>
      <c r="AC19" s="7" t="s">
        <v>334</v>
      </c>
      <c r="AE19" s="7" t="s">
        <v>371</v>
      </c>
      <c r="AH19" s="7" t="s">
        <v>1372</v>
      </c>
      <c r="AJ19" s="13"/>
      <c r="AK19" s="7">
        <v>3</v>
      </c>
      <c r="AM19" s="7" t="s">
        <v>371</v>
      </c>
      <c r="AP19" s="7" t="s">
        <v>1372</v>
      </c>
      <c r="AR19" s="13"/>
      <c r="AS19" s="7">
        <v>3</v>
      </c>
      <c r="AU19" s="7" t="s">
        <v>371</v>
      </c>
      <c r="AX19" s="7" t="s">
        <v>1372</v>
      </c>
      <c r="AZ19" s="13"/>
      <c r="BA19" s="7">
        <v>3</v>
      </c>
      <c r="BC19" s="7" t="s">
        <v>334</v>
      </c>
      <c r="BE19" s="7" t="s">
        <v>371</v>
      </c>
      <c r="BH19" s="7" t="s">
        <v>334</v>
      </c>
      <c r="BK19" s="7" t="s">
        <v>1372</v>
      </c>
      <c r="BM19" s="13"/>
      <c r="BN19" s="7">
        <v>3</v>
      </c>
      <c r="CC19" s="7" t="s">
        <v>334</v>
      </c>
      <c r="CF19" s="7" t="s">
        <v>3000</v>
      </c>
      <c r="CH19" s="7" t="s">
        <v>334</v>
      </c>
      <c r="CL19" s="7" t="s">
        <v>1332</v>
      </c>
      <c r="CM19" s="7" t="s">
        <v>1356</v>
      </c>
      <c r="CN19" s="7" t="s">
        <v>1332</v>
      </c>
      <c r="CO19" s="7" t="s">
        <v>1356</v>
      </c>
      <c r="CP19" s="7" t="s">
        <v>1332</v>
      </c>
      <c r="CS19" s="7" t="s">
        <v>1356</v>
      </c>
      <c r="CT19" s="7" t="s">
        <v>1356</v>
      </c>
      <c r="CU19" s="7" t="s">
        <v>1356</v>
      </c>
      <c r="CV19" s="7" t="s">
        <v>1356</v>
      </c>
      <c r="CW19" s="7" t="s">
        <v>1332</v>
      </c>
      <c r="CX19" s="7" t="s">
        <v>1356</v>
      </c>
      <c r="CY19" s="7" t="s">
        <v>1332</v>
      </c>
      <c r="CZ19" s="7" t="s">
        <v>1332</v>
      </c>
      <c r="DA19" s="7" t="s">
        <v>1356</v>
      </c>
      <c r="DB19" s="7" t="s">
        <v>1356</v>
      </c>
      <c r="DV19" s="7" t="s">
        <v>251</v>
      </c>
      <c r="DW19" s="7" t="s">
        <v>334</v>
      </c>
      <c r="DX19" s="7" t="s">
        <v>334</v>
      </c>
      <c r="EG19" s="7" t="s">
        <v>1336</v>
      </c>
      <c r="EH19" s="7" t="s">
        <v>1331</v>
      </c>
      <c r="EI19" s="7" t="s">
        <v>3027</v>
      </c>
      <c r="EJ19" s="7" t="s">
        <v>1469</v>
      </c>
      <c r="EK19" s="7" t="s">
        <v>356</v>
      </c>
      <c r="EL19" s="7">
        <v>1</v>
      </c>
      <c r="ER19" s="7">
        <v>10</v>
      </c>
      <c r="FD19" s="7" t="s">
        <v>251</v>
      </c>
      <c r="FG19" s="7" t="s">
        <v>1338</v>
      </c>
      <c r="FI19" s="7" t="s">
        <v>1339</v>
      </c>
    </row>
    <row r="20" spans="1:166" ht="76.5" x14ac:dyDescent="0.2">
      <c r="A20" s="6" t="s">
        <v>25</v>
      </c>
      <c r="B20" s="7" t="s">
        <v>2930</v>
      </c>
      <c r="D20" s="7" t="s">
        <v>334</v>
      </c>
      <c r="G20" s="7" t="s">
        <v>1328</v>
      </c>
      <c r="K20" s="7" t="s">
        <v>1384</v>
      </c>
      <c r="V20" s="7" t="s">
        <v>753</v>
      </c>
      <c r="X20" s="7" t="s">
        <v>1350</v>
      </c>
      <c r="AA20" s="7" t="s">
        <v>334</v>
      </c>
      <c r="AC20" s="7" t="s">
        <v>334</v>
      </c>
      <c r="AE20" s="7" t="s">
        <v>334</v>
      </c>
      <c r="AH20" s="7" t="s">
        <v>1331</v>
      </c>
      <c r="AI20" s="7">
        <v>18</v>
      </c>
      <c r="AJ20" s="13"/>
      <c r="AM20" s="7" t="s">
        <v>334</v>
      </c>
      <c r="AP20" s="7" t="s">
        <v>1331</v>
      </c>
      <c r="AQ20" s="7">
        <v>18</v>
      </c>
      <c r="AR20" s="13"/>
      <c r="AU20" s="7" t="s">
        <v>334</v>
      </c>
      <c r="AX20" s="7" t="s">
        <v>1331</v>
      </c>
      <c r="AY20" s="7">
        <v>18</v>
      </c>
      <c r="AZ20" s="13"/>
      <c r="BC20" s="7" t="s">
        <v>334</v>
      </c>
      <c r="BM20" s="13"/>
      <c r="BW20" s="13"/>
      <c r="CC20" s="7" t="s">
        <v>334</v>
      </c>
      <c r="CF20" s="7" t="s">
        <v>2992</v>
      </c>
      <c r="CH20" s="7" t="s">
        <v>251</v>
      </c>
      <c r="CI20" s="7" t="s">
        <v>1331</v>
      </c>
      <c r="CJ20" s="7" t="s">
        <v>1362</v>
      </c>
      <c r="DV20" s="7" t="s">
        <v>334</v>
      </c>
      <c r="DW20" s="7" t="s">
        <v>334</v>
      </c>
      <c r="DX20" s="7" t="s">
        <v>345</v>
      </c>
      <c r="EL20" s="7">
        <v>2</v>
      </c>
      <c r="ER20" s="7">
        <v>10</v>
      </c>
      <c r="FD20" s="7" t="s">
        <v>251</v>
      </c>
      <c r="FG20" s="7" t="s">
        <v>1338</v>
      </c>
      <c r="FI20" s="7" t="s">
        <v>1354</v>
      </c>
    </row>
    <row r="21" spans="1:166" ht="25.5" x14ac:dyDescent="0.2">
      <c r="A21" s="6" t="s">
        <v>26</v>
      </c>
      <c r="B21" s="7" t="s">
        <v>2965</v>
      </c>
      <c r="C21" s="7" t="s">
        <v>1385</v>
      </c>
      <c r="AJ21" s="13"/>
      <c r="AR21" s="13"/>
      <c r="AZ21" s="13"/>
      <c r="BM21" s="13"/>
      <c r="BW21" s="13"/>
      <c r="EZ21" s="7">
        <v>8</v>
      </c>
      <c r="FG21" s="7" t="s">
        <v>1338</v>
      </c>
      <c r="FI21" s="7" t="s">
        <v>1339</v>
      </c>
    </row>
    <row r="22" spans="1:166" ht="89.25" x14ac:dyDescent="0.2">
      <c r="A22" s="6" t="s">
        <v>20</v>
      </c>
      <c r="B22" s="7" t="s">
        <v>2926</v>
      </c>
      <c r="D22" s="7" t="s">
        <v>334</v>
      </c>
      <c r="G22" s="7" t="s">
        <v>1328</v>
      </c>
      <c r="K22" s="7" t="s">
        <v>1368</v>
      </c>
      <c r="V22" s="7" t="s">
        <v>753</v>
      </c>
      <c r="X22" s="7" t="s">
        <v>1350</v>
      </c>
      <c r="AA22" s="7" t="s">
        <v>334</v>
      </c>
      <c r="AC22" s="7" t="s">
        <v>334</v>
      </c>
      <c r="AE22" s="7" t="s">
        <v>334</v>
      </c>
      <c r="AH22" s="7" t="s">
        <v>1052</v>
      </c>
      <c r="AL22" s="7">
        <v>18</v>
      </c>
      <c r="AR22" s="13"/>
      <c r="AU22" s="7" t="s">
        <v>334</v>
      </c>
      <c r="AX22" s="7" t="s">
        <v>1052</v>
      </c>
      <c r="AZ22" s="13"/>
      <c r="BB22" s="7">
        <v>50</v>
      </c>
      <c r="BC22" s="7" t="s">
        <v>334</v>
      </c>
      <c r="BE22" s="7" t="s">
        <v>334</v>
      </c>
      <c r="BH22" s="7" t="s">
        <v>251</v>
      </c>
      <c r="BI22" s="7" t="s">
        <v>130</v>
      </c>
      <c r="BJ22" s="7">
        <v>18</v>
      </c>
      <c r="BK22" s="7" t="s">
        <v>1052</v>
      </c>
      <c r="BO22" s="7">
        <v>18</v>
      </c>
      <c r="BP22" s="7" t="s">
        <v>334</v>
      </c>
      <c r="BS22" s="7" t="s">
        <v>2974</v>
      </c>
      <c r="BU22" s="7" t="s">
        <v>1052</v>
      </c>
      <c r="BW22" s="13"/>
      <c r="BY22" s="7">
        <v>35</v>
      </c>
      <c r="BZ22" s="7" t="s">
        <v>334</v>
      </c>
      <c r="CA22" s="7" t="s">
        <v>334</v>
      </c>
      <c r="CC22" s="7" t="s">
        <v>334</v>
      </c>
      <c r="CF22" s="7" t="s">
        <v>2991</v>
      </c>
      <c r="CH22" s="7" t="s">
        <v>334</v>
      </c>
      <c r="CL22" s="7" t="s">
        <v>1356</v>
      </c>
      <c r="CM22" s="7" t="s">
        <v>1362</v>
      </c>
      <c r="CN22" s="7" t="s">
        <v>1356</v>
      </c>
      <c r="CO22" s="7" t="s">
        <v>1362</v>
      </c>
      <c r="CP22" s="7" t="s">
        <v>1356</v>
      </c>
      <c r="CT22" s="7" t="s">
        <v>1362</v>
      </c>
      <c r="CU22" s="7" t="s">
        <v>1362</v>
      </c>
      <c r="CV22" s="7" t="s">
        <v>1362</v>
      </c>
      <c r="CW22" s="7" t="s">
        <v>1356</v>
      </c>
      <c r="CX22" s="7" t="s">
        <v>1356</v>
      </c>
      <c r="CY22" s="7" t="s">
        <v>1356</v>
      </c>
      <c r="CZ22" s="7" t="s">
        <v>1356</v>
      </c>
      <c r="DA22" s="7" t="s">
        <v>1362</v>
      </c>
      <c r="DV22" s="7" t="s">
        <v>334</v>
      </c>
      <c r="DW22" s="7" t="s">
        <v>334</v>
      </c>
      <c r="DX22" s="7" t="s">
        <v>334</v>
      </c>
      <c r="EI22" s="7" t="s">
        <v>1369</v>
      </c>
      <c r="EK22" s="7" t="s">
        <v>356</v>
      </c>
      <c r="ET22" s="7">
        <v>3</v>
      </c>
      <c r="EV22" s="7">
        <v>10</v>
      </c>
      <c r="EX22" s="7">
        <v>10</v>
      </c>
      <c r="FD22" s="7" t="s">
        <v>251</v>
      </c>
      <c r="FG22" s="7" t="s">
        <v>1338</v>
      </c>
      <c r="FI22" s="7" t="s">
        <v>1346</v>
      </c>
      <c r="FJ22" s="7" t="s">
        <v>1370</v>
      </c>
    </row>
    <row r="23" spans="1:166" ht="51" x14ac:dyDescent="0.2">
      <c r="A23" s="6" t="s">
        <v>70</v>
      </c>
      <c r="B23" s="7" t="s">
        <v>2962</v>
      </c>
      <c r="D23" s="7" t="s">
        <v>334</v>
      </c>
      <c r="G23" s="7" t="s">
        <v>1328</v>
      </c>
      <c r="K23" s="7" t="s">
        <v>1478</v>
      </c>
      <c r="V23" s="7" t="s">
        <v>753</v>
      </c>
      <c r="X23" s="7" t="s">
        <v>1350</v>
      </c>
      <c r="AA23" s="7" t="s">
        <v>334</v>
      </c>
      <c r="AJ23" s="13"/>
      <c r="AR23" s="13"/>
      <c r="AZ23" s="13"/>
      <c r="BM23" s="13"/>
      <c r="CC23" s="7" t="s">
        <v>334</v>
      </c>
      <c r="CF23" s="7" t="s">
        <v>3003</v>
      </c>
      <c r="CH23" s="7" t="s">
        <v>251</v>
      </c>
      <c r="CI23" s="7" t="s">
        <v>1331</v>
      </c>
      <c r="CJ23" s="7" t="s">
        <v>1362</v>
      </c>
      <c r="DV23" s="7" t="s">
        <v>334</v>
      </c>
      <c r="DW23" s="7" t="s">
        <v>334</v>
      </c>
      <c r="DX23" s="7" t="s">
        <v>334</v>
      </c>
      <c r="FG23" s="7" t="s">
        <v>1338</v>
      </c>
      <c r="FI23" s="7" t="s">
        <v>1454</v>
      </c>
    </row>
    <row r="24" spans="1:166" ht="102" x14ac:dyDescent="0.2">
      <c r="A24" s="6" t="s">
        <v>14</v>
      </c>
      <c r="B24" s="7" t="s">
        <v>2920</v>
      </c>
      <c r="D24" s="7" t="s">
        <v>334</v>
      </c>
      <c r="G24" s="7" t="s">
        <v>1328</v>
      </c>
      <c r="K24" s="7" t="s">
        <v>1349</v>
      </c>
      <c r="V24" s="7" t="s">
        <v>753</v>
      </c>
      <c r="X24" s="7" t="s">
        <v>1350</v>
      </c>
      <c r="AA24" s="7" t="s">
        <v>334</v>
      </c>
      <c r="AC24" s="7" t="s">
        <v>334</v>
      </c>
      <c r="AR24" s="13"/>
      <c r="AZ24" s="13"/>
      <c r="BP24" s="7" t="s">
        <v>334</v>
      </c>
      <c r="BS24" s="7" t="s">
        <v>2973</v>
      </c>
      <c r="BU24" s="7" t="s">
        <v>1331</v>
      </c>
      <c r="BV24" s="7">
        <v>7</v>
      </c>
      <c r="BW24" s="13"/>
      <c r="FG24" s="7" t="s">
        <v>1338</v>
      </c>
      <c r="FI24" s="7" t="s">
        <v>1339</v>
      </c>
      <c r="FJ24" s="7" t="s">
        <v>1351</v>
      </c>
    </row>
    <row r="25" spans="1:166" ht="140.25" x14ac:dyDescent="0.2">
      <c r="A25" s="6" t="s">
        <v>24</v>
      </c>
      <c r="B25" s="7" t="s">
        <v>2929</v>
      </c>
      <c r="AJ25" s="13"/>
      <c r="AM25" s="7" t="s">
        <v>334</v>
      </c>
      <c r="AP25" s="7" t="s">
        <v>1331</v>
      </c>
      <c r="AQ25" s="7">
        <v>4</v>
      </c>
      <c r="AR25" s="13"/>
      <c r="AU25" s="7" t="s">
        <v>334</v>
      </c>
      <c r="AX25" s="7" t="s">
        <v>1331</v>
      </c>
      <c r="AY25" s="7">
        <v>13</v>
      </c>
      <c r="AZ25" s="13"/>
      <c r="BC25" s="7" t="s">
        <v>251</v>
      </c>
      <c r="BD25" s="7">
        <v>3</v>
      </c>
      <c r="BE25" s="7" t="s">
        <v>334</v>
      </c>
      <c r="BH25" s="7" t="s">
        <v>334</v>
      </c>
      <c r="BK25" s="7" t="s">
        <v>1331</v>
      </c>
      <c r="BL25" s="7">
        <v>13</v>
      </c>
      <c r="BM25" s="13"/>
      <c r="BW25" s="13"/>
      <c r="CC25" s="7" t="s">
        <v>334</v>
      </c>
      <c r="CF25" s="7" t="s">
        <v>2983</v>
      </c>
      <c r="CH25" s="7" t="s">
        <v>251</v>
      </c>
      <c r="CI25" s="7" t="s">
        <v>1331</v>
      </c>
      <c r="CJ25" s="7" t="s">
        <v>1332</v>
      </c>
      <c r="DV25" s="7" t="s">
        <v>334</v>
      </c>
      <c r="DW25" s="7" t="s">
        <v>334</v>
      </c>
      <c r="DX25" s="7" t="s">
        <v>334</v>
      </c>
      <c r="EG25" s="7" t="s">
        <v>1336</v>
      </c>
      <c r="EH25" s="7" t="s">
        <v>1353</v>
      </c>
      <c r="EI25" s="7" t="s">
        <v>3009</v>
      </c>
      <c r="EK25" s="7" t="s">
        <v>1381</v>
      </c>
      <c r="EL25" s="7">
        <v>10</v>
      </c>
      <c r="ER25" s="7">
        <v>60</v>
      </c>
      <c r="EZ25" s="7">
        <v>60</v>
      </c>
      <c r="FD25" s="7" t="s">
        <v>334</v>
      </c>
      <c r="FG25" s="7" t="s">
        <v>130</v>
      </c>
      <c r="FH25" s="7" t="s">
        <v>1382</v>
      </c>
      <c r="FI25" s="7" t="s">
        <v>1346</v>
      </c>
      <c r="FJ25" s="7" t="s">
        <v>1383</v>
      </c>
    </row>
    <row r="26" spans="1:166" ht="89.25" x14ac:dyDescent="0.2">
      <c r="A26" s="6" t="s">
        <v>37</v>
      </c>
      <c r="B26" s="7" t="s">
        <v>2938</v>
      </c>
      <c r="D26" s="7" t="s">
        <v>334</v>
      </c>
      <c r="G26" s="7" t="s">
        <v>1328</v>
      </c>
      <c r="K26" s="7" t="s">
        <v>1417</v>
      </c>
      <c r="V26" s="7" t="s">
        <v>753</v>
      </c>
      <c r="X26" s="7" t="s">
        <v>1330</v>
      </c>
      <c r="AA26" s="7" t="s">
        <v>334</v>
      </c>
      <c r="AC26" s="7" t="s">
        <v>334</v>
      </c>
      <c r="AE26" s="7" t="s">
        <v>334</v>
      </c>
      <c r="AH26" s="7" t="s">
        <v>1372</v>
      </c>
      <c r="AJ26" s="13">
        <v>100</v>
      </c>
      <c r="AK26" s="7">
        <v>17</v>
      </c>
      <c r="AM26" s="7" t="s">
        <v>334</v>
      </c>
      <c r="AP26" s="7" t="s">
        <v>1331</v>
      </c>
      <c r="AQ26" s="7">
        <v>12</v>
      </c>
      <c r="AR26" s="13"/>
      <c r="AU26" s="7" t="s">
        <v>334</v>
      </c>
      <c r="AX26" s="7" t="s">
        <v>1331</v>
      </c>
      <c r="AY26" s="7">
        <v>12</v>
      </c>
      <c r="AZ26" s="13"/>
      <c r="BC26" s="7" t="s">
        <v>334</v>
      </c>
      <c r="BE26" s="7" t="s">
        <v>334</v>
      </c>
      <c r="BH26" s="7" t="s">
        <v>334</v>
      </c>
      <c r="BK26" s="7" t="s">
        <v>1331</v>
      </c>
      <c r="BL26" s="7">
        <v>12</v>
      </c>
      <c r="BM26" s="13"/>
      <c r="BW26" s="13"/>
      <c r="CC26" s="7" t="s">
        <v>334</v>
      </c>
      <c r="CF26" s="7" t="s">
        <v>2994</v>
      </c>
      <c r="CH26" s="7" t="s">
        <v>251</v>
      </c>
      <c r="CI26" s="7" t="s">
        <v>1331</v>
      </c>
      <c r="CJ26" s="7" t="s">
        <v>1356</v>
      </c>
      <c r="DV26" s="7" t="s">
        <v>334</v>
      </c>
      <c r="DW26" s="7" t="s">
        <v>334</v>
      </c>
      <c r="DX26" s="7" t="s">
        <v>334</v>
      </c>
      <c r="EG26" s="7" t="s">
        <v>1356</v>
      </c>
      <c r="EH26" s="7" t="s">
        <v>1353</v>
      </c>
      <c r="EI26" s="7" t="s">
        <v>3014</v>
      </c>
      <c r="EK26" s="7" t="s">
        <v>356</v>
      </c>
      <c r="ER26" s="7">
        <v>10</v>
      </c>
      <c r="EW26" s="7">
        <v>365</v>
      </c>
      <c r="FA26" s="7">
        <v>365</v>
      </c>
      <c r="FD26" s="7" t="s">
        <v>334</v>
      </c>
      <c r="FG26" s="7" t="s">
        <v>1338</v>
      </c>
      <c r="FI26" s="7" t="s">
        <v>1346</v>
      </c>
    </row>
    <row r="27" spans="1:166" ht="25.5" x14ac:dyDescent="0.2">
      <c r="A27" s="6" t="s">
        <v>13</v>
      </c>
      <c r="B27" s="7" t="s">
        <v>2919</v>
      </c>
      <c r="AM27" s="7" t="s">
        <v>334</v>
      </c>
      <c r="AP27" s="7" t="s">
        <v>1052</v>
      </c>
      <c r="AR27" s="13"/>
      <c r="AT27" s="7">
        <v>12</v>
      </c>
      <c r="AU27" s="7" t="s">
        <v>334</v>
      </c>
      <c r="AX27" s="7" t="s">
        <v>1052</v>
      </c>
      <c r="AZ27" s="13"/>
      <c r="BB27" s="7">
        <v>12</v>
      </c>
      <c r="BC27" s="7" t="s">
        <v>334</v>
      </c>
      <c r="BW27" s="13"/>
      <c r="FA27" s="7">
        <v>90</v>
      </c>
      <c r="FG27" s="7" t="s">
        <v>130</v>
      </c>
      <c r="FH27" s="7" t="s">
        <v>1347</v>
      </c>
      <c r="FI27" s="7" t="s">
        <v>1348</v>
      </c>
    </row>
    <row r="28" spans="1:166" ht="76.5" x14ac:dyDescent="0.2">
      <c r="A28" s="6" t="s">
        <v>35</v>
      </c>
      <c r="B28" s="7" t="s">
        <v>2937</v>
      </c>
      <c r="D28" s="7" t="s">
        <v>334</v>
      </c>
      <c r="G28" s="7" t="s">
        <v>1328</v>
      </c>
      <c r="K28" s="7" t="s">
        <v>1413</v>
      </c>
      <c r="V28" s="7" t="s">
        <v>753</v>
      </c>
      <c r="X28" s="7" t="s">
        <v>1350</v>
      </c>
      <c r="AA28" s="7" t="s">
        <v>334</v>
      </c>
      <c r="AC28" s="7" t="s">
        <v>334</v>
      </c>
      <c r="AE28" s="7" t="s">
        <v>334</v>
      </c>
      <c r="AH28" s="7" t="s">
        <v>1372</v>
      </c>
      <c r="AJ28" s="13">
        <v>100</v>
      </c>
      <c r="AK28" s="7">
        <v>12</v>
      </c>
      <c r="AM28" s="7" t="s">
        <v>334</v>
      </c>
      <c r="AP28" s="7" t="s">
        <v>1372</v>
      </c>
      <c r="AR28" s="13">
        <v>100</v>
      </c>
      <c r="AS28" s="7">
        <v>4</v>
      </c>
      <c r="AZ28" s="13"/>
      <c r="BE28" s="7" t="s">
        <v>334</v>
      </c>
      <c r="BH28" s="7" t="s">
        <v>334</v>
      </c>
      <c r="BK28" s="7" t="s">
        <v>1372</v>
      </c>
      <c r="BM28" s="13">
        <v>100</v>
      </c>
      <c r="BN28" s="7">
        <v>12</v>
      </c>
      <c r="BW28" s="13"/>
      <c r="CC28" s="7" t="s">
        <v>334</v>
      </c>
      <c r="CF28" s="7" t="s">
        <v>2977</v>
      </c>
      <c r="CH28" s="7" t="s">
        <v>251</v>
      </c>
      <c r="CI28" s="7" t="s">
        <v>1331</v>
      </c>
      <c r="CJ28" s="7" t="s">
        <v>1356</v>
      </c>
      <c r="DV28" s="7" t="s">
        <v>251</v>
      </c>
      <c r="DW28" s="7" t="s">
        <v>334</v>
      </c>
      <c r="DX28" s="7" t="s">
        <v>334</v>
      </c>
      <c r="EG28" s="7" t="s">
        <v>1356</v>
      </c>
      <c r="EH28" s="7" t="s">
        <v>1331</v>
      </c>
      <c r="EL28" s="7">
        <v>5</v>
      </c>
      <c r="ER28" s="7">
        <v>3</v>
      </c>
      <c r="EV28" s="7">
        <v>20</v>
      </c>
      <c r="FD28" s="7" t="s">
        <v>251</v>
      </c>
      <c r="FG28" s="7" t="s">
        <v>1338</v>
      </c>
      <c r="FI28" s="7" t="s">
        <v>1346</v>
      </c>
      <c r="FJ28" s="7" t="s">
        <v>1414</v>
      </c>
    </row>
    <row r="29" spans="1:166" ht="63.75" x14ac:dyDescent="0.2">
      <c r="A29" s="6" t="s">
        <v>67</v>
      </c>
      <c r="B29" s="7" t="s">
        <v>2961</v>
      </c>
      <c r="D29" s="7" t="s">
        <v>334</v>
      </c>
      <c r="G29" s="7" t="s">
        <v>1340</v>
      </c>
      <c r="I29" s="7" t="s">
        <v>1371</v>
      </c>
      <c r="V29" s="7" t="s">
        <v>753</v>
      </c>
      <c r="X29" s="7" t="s">
        <v>1330</v>
      </c>
      <c r="AA29" s="7" t="s">
        <v>334</v>
      </c>
      <c r="AC29" s="7" t="s">
        <v>334</v>
      </c>
      <c r="AE29" s="7" t="s">
        <v>334</v>
      </c>
      <c r="AH29" s="7" t="s">
        <v>1353</v>
      </c>
      <c r="AI29" s="7">
        <v>4</v>
      </c>
      <c r="AJ29" s="13"/>
      <c r="AK29" s="7">
        <v>2</v>
      </c>
      <c r="AL29" s="7">
        <v>0</v>
      </c>
      <c r="AR29" s="13"/>
      <c r="AZ29" s="13"/>
      <c r="BM29" s="13"/>
      <c r="CC29" s="7" t="s">
        <v>334</v>
      </c>
      <c r="CF29" s="7" t="s">
        <v>3002</v>
      </c>
      <c r="CH29" s="7" t="s">
        <v>251</v>
      </c>
      <c r="CI29" s="7" t="s">
        <v>1331</v>
      </c>
      <c r="CJ29" s="7" t="s">
        <v>1362</v>
      </c>
      <c r="DV29" s="7" t="s">
        <v>334</v>
      </c>
      <c r="DW29" s="7" t="s">
        <v>334</v>
      </c>
      <c r="DX29" s="7" t="s">
        <v>251</v>
      </c>
      <c r="DY29" s="7" t="s">
        <v>1331</v>
      </c>
      <c r="DZ29" s="7" t="s">
        <v>1363</v>
      </c>
      <c r="EL29" s="7">
        <v>5</v>
      </c>
      <c r="FA29" s="7">
        <v>120</v>
      </c>
      <c r="FG29" s="7" t="s">
        <v>1338</v>
      </c>
      <c r="FI29" s="7" t="s">
        <v>1354</v>
      </c>
    </row>
    <row r="30" spans="1:166" ht="89.25" x14ac:dyDescent="0.2">
      <c r="A30" s="6" t="s">
        <v>49</v>
      </c>
      <c r="B30" s="7" t="s">
        <v>2949</v>
      </c>
      <c r="D30" s="7" t="s">
        <v>334</v>
      </c>
      <c r="G30" s="7" t="s">
        <v>1328</v>
      </c>
      <c r="K30" s="7" t="s">
        <v>1442</v>
      </c>
      <c r="V30" s="7" t="s">
        <v>753</v>
      </c>
      <c r="X30" s="7" t="s">
        <v>1330</v>
      </c>
      <c r="AA30" s="7" t="s">
        <v>334</v>
      </c>
      <c r="AC30" s="7" t="s">
        <v>334</v>
      </c>
      <c r="AE30" s="7" t="s">
        <v>334</v>
      </c>
      <c r="AH30" s="7" t="s">
        <v>1331</v>
      </c>
      <c r="AI30" s="7">
        <v>22</v>
      </c>
      <c r="AJ30" s="13"/>
      <c r="AM30" s="7" t="s">
        <v>334</v>
      </c>
      <c r="AP30" s="7" t="s">
        <v>1331</v>
      </c>
      <c r="AQ30" s="7">
        <v>12</v>
      </c>
      <c r="AR30" s="13"/>
      <c r="AZ30" s="13"/>
      <c r="BM30" s="13"/>
      <c r="CC30" s="7" t="s">
        <v>334</v>
      </c>
      <c r="CF30" s="7" t="s">
        <v>3005</v>
      </c>
      <c r="CG30" s="7" t="s">
        <v>1443</v>
      </c>
      <c r="CH30" s="7" t="s">
        <v>251</v>
      </c>
      <c r="CI30" s="7" t="s">
        <v>1331</v>
      </c>
      <c r="CJ30" s="7" t="s">
        <v>1088</v>
      </c>
      <c r="DV30" s="7" t="s">
        <v>334</v>
      </c>
      <c r="DW30" s="7" t="s">
        <v>334</v>
      </c>
      <c r="DX30" s="7" t="s">
        <v>334</v>
      </c>
      <c r="FG30" s="7" t="s">
        <v>1338</v>
      </c>
      <c r="FI30" s="7" t="s">
        <v>1354</v>
      </c>
    </row>
    <row r="31" spans="1:166" ht="102" x14ac:dyDescent="0.2">
      <c r="A31" s="6" t="s">
        <v>68</v>
      </c>
      <c r="B31" s="7" t="s">
        <v>2925</v>
      </c>
      <c r="D31" s="7" t="s">
        <v>334</v>
      </c>
      <c r="G31" s="7" t="s">
        <v>1328</v>
      </c>
      <c r="K31" s="7" t="s">
        <v>1473</v>
      </c>
      <c r="V31" s="7" t="s">
        <v>753</v>
      </c>
      <c r="AA31" s="7" t="s">
        <v>334</v>
      </c>
      <c r="AC31" s="7" t="s">
        <v>334</v>
      </c>
      <c r="AE31" s="7" t="s">
        <v>334</v>
      </c>
      <c r="AH31" s="7" t="s">
        <v>1331</v>
      </c>
      <c r="AI31" s="7">
        <v>20</v>
      </c>
      <c r="AJ31" s="13"/>
      <c r="AM31" s="7" t="s">
        <v>334</v>
      </c>
      <c r="AP31" s="7" t="s">
        <v>1331</v>
      </c>
      <c r="AQ31" s="7">
        <v>14</v>
      </c>
      <c r="AR31" s="13"/>
      <c r="AU31" s="7" t="s">
        <v>334</v>
      </c>
      <c r="AX31" s="7" t="s">
        <v>1331</v>
      </c>
      <c r="AY31" s="7">
        <v>14</v>
      </c>
      <c r="AZ31" s="13"/>
      <c r="BC31" s="7" t="s">
        <v>334</v>
      </c>
      <c r="BE31" s="7" t="s">
        <v>334</v>
      </c>
      <c r="BH31" s="7" t="s">
        <v>251</v>
      </c>
      <c r="BI31" s="7" t="s">
        <v>130</v>
      </c>
      <c r="BJ31" s="7" t="s">
        <v>1474</v>
      </c>
      <c r="BK31" s="7" t="s">
        <v>1331</v>
      </c>
      <c r="BL31" s="7">
        <v>14</v>
      </c>
      <c r="BM31" s="13"/>
      <c r="BP31" s="7" t="s">
        <v>334</v>
      </c>
      <c r="BS31" s="7" t="s">
        <v>2985</v>
      </c>
      <c r="BU31" s="7" t="s">
        <v>1331</v>
      </c>
      <c r="BV31" s="7">
        <v>10</v>
      </c>
      <c r="BZ31" s="7" t="s">
        <v>251</v>
      </c>
      <c r="CA31" s="7" t="s">
        <v>251</v>
      </c>
      <c r="CB31" s="7" t="s">
        <v>1475</v>
      </c>
      <c r="CC31" s="7" t="s">
        <v>334</v>
      </c>
      <c r="CF31" s="7" t="s">
        <v>2977</v>
      </c>
      <c r="CH31" s="7" t="s">
        <v>251</v>
      </c>
      <c r="CI31" s="7" t="s">
        <v>1331</v>
      </c>
      <c r="CJ31" s="7" t="s">
        <v>1356</v>
      </c>
      <c r="DV31" s="7" t="s">
        <v>334</v>
      </c>
      <c r="DW31" s="7" t="s">
        <v>334</v>
      </c>
      <c r="DX31" s="7" t="s">
        <v>334</v>
      </c>
      <c r="EI31" s="7" t="s">
        <v>3020</v>
      </c>
      <c r="EK31" s="7" t="s">
        <v>356</v>
      </c>
      <c r="EL31" s="7">
        <v>2</v>
      </c>
      <c r="FA31" s="7">
        <v>90</v>
      </c>
      <c r="FD31" s="7" t="s">
        <v>334</v>
      </c>
      <c r="FG31" s="7" t="s">
        <v>130</v>
      </c>
      <c r="FH31" s="7" t="s">
        <v>1476</v>
      </c>
      <c r="FI31" s="7" t="s">
        <v>1339</v>
      </c>
    </row>
    <row r="32" spans="1:166" ht="89.25" x14ac:dyDescent="0.2">
      <c r="A32" s="6" t="s">
        <v>11</v>
      </c>
      <c r="B32" s="7" t="s">
        <v>2917</v>
      </c>
      <c r="D32" s="7" t="s">
        <v>334</v>
      </c>
      <c r="G32" s="7" t="s">
        <v>1328</v>
      </c>
      <c r="K32" s="7" t="s">
        <v>1329</v>
      </c>
      <c r="V32" s="7" t="s">
        <v>2898</v>
      </c>
      <c r="X32" s="7" t="s">
        <v>1330</v>
      </c>
      <c r="AA32" s="7" t="s">
        <v>334</v>
      </c>
      <c r="AC32" s="7" t="s">
        <v>334</v>
      </c>
      <c r="AE32" s="7" t="s">
        <v>334</v>
      </c>
      <c r="AH32" s="7" t="s">
        <v>1331</v>
      </c>
      <c r="AI32" s="7">
        <v>26</v>
      </c>
      <c r="AM32" s="7" t="s">
        <v>334</v>
      </c>
      <c r="AP32" s="7" t="s">
        <v>1331</v>
      </c>
      <c r="AQ32" s="7">
        <v>16</v>
      </c>
      <c r="AR32" s="13"/>
      <c r="AU32" s="7" t="s">
        <v>334</v>
      </c>
      <c r="AX32" s="7" t="s">
        <v>1331</v>
      </c>
      <c r="AY32" s="7">
        <v>16</v>
      </c>
      <c r="AZ32" s="13"/>
      <c r="BC32" s="7" t="s">
        <v>334</v>
      </c>
      <c r="BE32" s="7" t="s">
        <v>334</v>
      </c>
      <c r="BH32" s="7" t="s">
        <v>334</v>
      </c>
      <c r="BK32" s="7" t="s">
        <v>1331</v>
      </c>
      <c r="BL32" s="7">
        <v>16</v>
      </c>
      <c r="BP32" s="7" t="s">
        <v>334</v>
      </c>
      <c r="BS32" s="7" t="s">
        <v>2972</v>
      </c>
      <c r="BU32" s="7" t="s">
        <v>1052</v>
      </c>
      <c r="BW32" s="13"/>
      <c r="BY32" s="7">
        <v>40</v>
      </c>
      <c r="BZ32" s="7" t="s">
        <v>251</v>
      </c>
      <c r="CA32" s="7" t="s">
        <v>334</v>
      </c>
      <c r="CC32" s="7" t="s">
        <v>334</v>
      </c>
      <c r="CF32" s="7" t="s">
        <v>2987</v>
      </c>
      <c r="CH32" s="7" t="s">
        <v>251</v>
      </c>
      <c r="CI32" s="7" t="s">
        <v>1331</v>
      </c>
      <c r="CJ32" s="7" t="s">
        <v>1332</v>
      </c>
      <c r="DV32" s="7" t="s">
        <v>334</v>
      </c>
      <c r="DW32" s="7" t="s">
        <v>334</v>
      </c>
      <c r="DX32" s="7" t="s">
        <v>334</v>
      </c>
      <c r="EB32" s="7" t="s">
        <v>1333</v>
      </c>
      <c r="EC32" s="7" t="s">
        <v>1331</v>
      </c>
      <c r="ED32" s="7" t="s">
        <v>1334</v>
      </c>
      <c r="EE32" s="7" t="s">
        <v>1335</v>
      </c>
      <c r="EG32" s="7" t="s">
        <v>1336</v>
      </c>
      <c r="EH32" s="7" t="s">
        <v>1331</v>
      </c>
      <c r="EI32" s="7" t="s">
        <v>3007</v>
      </c>
      <c r="EK32" s="7" t="s">
        <v>1337</v>
      </c>
      <c r="ER32" s="7">
        <v>180</v>
      </c>
      <c r="EV32" s="7">
        <v>180</v>
      </c>
      <c r="FA32" s="7">
        <v>180</v>
      </c>
      <c r="FD32" s="7" t="s">
        <v>251</v>
      </c>
      <c r="FG32" s="7" t="s">
        <v>1338</v>
      </c>
      <c r="FI32" s="7" t="s">
        <v>1339</v>
      </c>
    </row>
    <row r="33" spans="1:166" ht="25.5" x14ac:dyDescent="0.2">
      <c r="A33" s="6" t="s">
        <v>50</v>
      </c>
      <c r="B33" s="7" t="s">
        <v>1444</v>
      </c>
      <c r="AE33" s="7" t="s">
        <v>334</v>
      </c>
      <c r="AH33" s="7" t="s">
        <v>1331</v>
      </c>
      <c r="AI33" s="7">
        <v>8</v>
      </c>
      <c r="AJ33" s="13"/>
      <c r="AR33" s="13"/>
      <c r="AZ33" s="13"/>
      <c r="BM33" s="13"/>
      <c r="FG33" s="7" t="s">
        <v>1338</v>
      </c>
      <c r="FI33" s="7" t="s">
        <v>1339</v>
      </c>
    </row>
    <row r="34" spans="1:166" ht="114.75" x14ac:dyDescent="0.2">
      <c r="A34" s="6" t="s">
        <v>71</v>
      </c>
      <c r="B34" s="7" t="s">
        <v>2963</v>
      </c>
      <c r="D34" s="7" t="s">
        <v>334</v>
      </c>
      <c r="G34" s="7" t="s">
        <v>1340</v>
      </c>
      <c r="I34" s="7" t="s">
        <v>1399</v>
      </c>
      <c r="L34" s="7" t="s">
        <v>251</v>
      </c>
      <c r="M34" s="7">
        <v>30</v>
      </c>
      <c r="N34" s="7" t="s">
        <v>1038</v>
      </c>
      <c r="V34" s="7" t="s">
        <v>2898</v>
      </c>
      <c r="X34" s="7" t="s">
        <v>1344</v>
      </c>
      <c r="Z34" s="10">
        <v>1</v>
      </c>
      <c r="AA34" s="7" t="s">
        <v>334</v>
      </c>
      <c r="AC34" s="7" t="s">
        <v>334</v>
      </c>
      <c r="AE34" s="7" t="s">
        <v>334</v>
      </c>
      <c r="AH34" s="7" t="s">
        <v>1331</v>
      </c>
      <c r="AI34" s="7">
        <v>12</v>
      </c>
      <c r="AJ34" s="13"/>
      <c r="AM34" s="7" t="s">
        <v>334</v>
      </c>
      <c r="AP34" s="7" t="s">
        <v>1331</v>
      </c>
      <c r="AQ34" s="7">
        <v>12</v>
      </c>
      <c r="AR34" s="13"/>
      <c r="AU34" s="7" t="s">
        <v>334</v>
      </c>
      <c r="AX34" s="7" t="s">
        <v>1331</v>
      </c>
      <c r="AY34" s="7">
        <v>12</v>
      </c>
      <c r="AZ34" s="13"/>
      <c r="BC34" s="7" t="s">
        <v>334</v>
      </c>
      <c r="BE34" s="7" t="s">
        <v>334</v>
      </c>
      <c r="BH34" s="7" t="s">
        <v>334</v>
      </c>
      <c r="BK34" s="7" t="s">
        <v>1331</v>
      </c>
      <c r="BL34" s="7">
        <v>12</v>
      </c>
      <c r="BM34" s="13"/>
      <c r="BP34" s="7" t="s">
        <v>334</v>
      </c>
      <c r="BS34" s="7" t="s">
        <v>2973</v>
      </c>
      <c r="BU34" s="7" t="s">
        <v>1052</v>
      </c>
      <c r="BY34" s="7">
        <v>130</v>
      </c>
      <c r="BZ34" s="7" t="s">
        <v>251</v>
      </c>
      <c r="CA34" s="7" t="s">
        <v>334</v>
      </c>
      <c r="CC34" s="7" t="s">
        <v>334</v>
      </c>
      <c r="CF34" s="7" t="s">
        <v>2983</v>
      </c>
      <c r="CH34" s="7" t="s">
        <v>251</v>
      </c>
      <c r="CI34" s="7" t="s">
        <v>1331</v>
      </c>
      <c r="CJ34" s="7" t="s">
        <v>1088</v>
      </c>
      <c r="DV34" s="7" t="s">
        <v>251</v>
      </c>
      <c r="DW34" s="7" t="s">
        <v>334</v>
      </c>
      <c r="DX34" s="7" t="s">
        <v>334</v>
      </c>
      <c r="EI34" s="7" t="s">
        <v>1381</v>
      </c>
      <c r="EK34" s="7" t="s">
        <v>356</v>
      </c>
      <c r="EL34" s="7">
        <v>3</v>
      </c>
      <c r="EX34" s="7">
        <v>10</v>
      </c>
      <c r="FG34" s="7" t="s">
        <v>1338</v>
      </c>
      <c r="FI34" s="7" t="s">
        <v>1348</v>
      </c>
    </row>
    <row r="35" spans="1:166" ht="25.5" x14ac:dyDescent="0.2">
      <c r="A35" s="6" t="s">
        <v>65</v>
      </c>
      <c r="B35" s="7" t="s">
        <v>2959</v>
      </c>
      <c r="AE35" s="7" t="s">
        <v>334</v>
      </c>
      <c r="AH35" s="7" t="s">
        <v>1372</v>
      </c>
      <c r="AJ35" s="13">
        <v>100</v>
      </c>
      <c r="AK35" s="7">
        <v>9</v>
      </c>
      <c r="AR35" s="13"/>
      <c r="AU35" s="7" t="s">
        <v>334</v>
      </c>
      <c r="AX35" s="7" t="s">
        <v>1372</v>
      </c>
      <c r="AZ35" s="13">
        <v>100</v>
      </c>
      <c r="BA35" s="7">
        <v>7</v>
      </c>
      <c r="BC35" s="7" t="s">
        <v>334</v>
      </c>
      <c r="BE35" s="7" t="s">
        <v>334</v>
      </c>
      <c r="BH35" s="7" t="s">
        <v>251</v>
      </c>
      <c r="BI35" s="7" t="s">
        <v>130</v>
      </c>
      <c r="BJ35" s="7">
        <v>18</v>
      </c>
      <c r="BK35" s="7" t="s">
        <v>1372</v>
      </c>
      <c r="BM35" s="13">
        <v>100</v>
      </c>
      <c r="BN35" s="7">
        <v>7</v>
      </c>
      <c r="FG35" s="7" t="s">
        <v>1338</v>
      </c>
      <c r="FI35" s="7" t="s">
        <v>1339</v>
      </c>
      <c r="FJ35" s="7" t="s">
        <v>1472</v>
      </c>
    </row>
    <row r="36" spans="1:166" ht="114.75" x14ac:dyDescent="0.2">
      <c r="A36" s="6" t="s">
        <v>59</v>
      </c>
      <c r="B36" s="7" t="s">
        <v>2954</v>
      </c>
      <c r="D36" s="7" t="s">
        <v>334</v>
      </c>
      <c r="G36" s="7" t="s">
        <v>1328</v>
      </c>
      <c r="K36" s="7" t="s">
        <v>1463</v>
      </c>
      <c r="V36" s="7" t="s">
        <v>753</v>
      </c>
      <c r="X36" s="7" t="s">
        <v>1330</v>
      </c>
      <c r="AA36" s="7" t="s">
        <v>334</v>
      </c>
      <c r="AC36" s="7" t="s">
        <v>345</v>
      </c>
      <c r="AJ36" s="13"/>
      <c r="AR36" s="13"/>
      <c r="AZ36" s="13"/>
      <c r="BM36" s="13"/>
      <c r="CC36" s="7" t="s">
        <v>334</v>
      </c>
      <c r="CF36" s="7" t="s">
        <v>2981</v>
      </c>
      <c r="CH36" s="7" t="s">
        <v>334</v>
      </c>
      <c r="CL36" s="7" t="s">
        <v>1088</v>
      </c>
      <c r="CM36" s="7" t="s">
        <v>1088</v>
      </c>
      <c r="CN36" s="7" t="s">
        <v>1332</v>
      </c>
      <c r="CO36" s="7" t="s">
        <v>1088</v>
      </c>
      <c r="CP36" s="7" t="s">
        <v>1332</v>
      </c>
      <c r="CQ36" s="7" t="s">
        <v>1332</v>
      </c>
      <c r="CS36" s="7" t="s">
        <v>1088</v>
      </c>
      <c r="CT36" s="7" t="s">
        <v>1088</v>
      </c>
      <c r="CU36" s="7" t="s">
        <v>1088</v>
      </c>
      <c r="CV36" s="7" t="s">
        <v>1088</v>
      </c>
      <c r="CW36" s="7" t="s">
        <v>1332</v>
      </c>
      <c r="CX36" s="7" t="s">
        <v>1332</v>
      </c>
      <c r="CY36" s="7" t="s">
        <v>1332</v>
      </c>
      <c r="CZ36" s="7" t="s">
        <v>1332</v>
      </c>
      <c r="DA36" s="7" t="s">
        <v>1088</v>
      </c>
      <c r="DB36" s="7" t="s">
        <v>1088</v>
      </c>
      <c r="DV36" s="7" t="s">
        <v>334</v>
      </c>
      <c r="DW36" s="7" t="s">
        <v>251</v>
      </c>
      <c r="DX36" s="7" t="s">
        <v>334</v>
      </c>
      <c r="EG36" s="7" t="s">
        <v>1336</v>
      </c>
      <c r="EH36" s="7" t="s">
        <v>1331</v>
      </c>
      <c r="EI36" s="7" t="s">
        <v>130</v>
      </c>
      <c r="FG36" s="7" t="s">
        <v>1338</v>
      </c>
      <c r="FI36" s="7" t="s">
        <v>1346</v>
      </c>
    </row>
    <row r="37" spans="1:166" ht="25.5" x14ac:dyDescent="0.2">
      <c r="A37" s="6" t="s">
        <v>36</v>
      </c>
      <c r="B37" s="7" t="s">
        <v>1415</v>
      </c>
      <c r="D37" s="7" t="s">
        <v>334</v>
      </c>
      <c r="G37" s="7" t="s">
        <v>1340</v>
      </c>
      <c r="I37" s="7" t="s">
        <v>1416</v>
      </c>
      <c r="L37" s="7" t="s">
        <v>251</v>
      </c>
      <c r="M37" s="7">
        <v>30</v>
      </c>
      <c r="N37" s="7" t="s">
        <v>1038</v>
      </c>
      <c r="V37" s="7" t="s">
        <v>753</v>
      </c>
      <c r="X37" s="7" t="s">
        <v>1350</v>
      </c>
      <c r="AA37" s="7" t="s">
        <v>334</v>
      </c>
      <c r="AC37" s="7" t="s">
        <v>334</v>
      </c>
      <c r="AJ37" s="13"/>
      <c r="AR37" s="13"/>
      <c r="AZ37" s="13"/>
      <c r="BM37" s="13"/>
      <c r="BW37" s="13"/>
      <c r="FG37" s="7" t="s">
        <v>1338</v>
      </c>
      <c r="FI37" s="7" t="s">
        <v>1346</v>
      </c>
    </row>
    <row r="38" spans="1:166" ht="102" x14ac:dyDescent="0.2">
      <c r="A38" s="6" t="s">
        <v>28</v>
      </c>
      <c r="B38" s="7" t="s">
        <v>2932</v>
      </c>
      <c r="D38" s="7" t="s">
        <v>334</v>
      </c>
      <c r="G38" s="7" t="s">
        <v>1340</v>
      </c>
      <c r="I38" s="7" t="s">
        <v>130</v>
      </c>
      <c r="J38" s="7" t="s">
        <v>1387</v>
      </c>
      <c r="L38" s="7" t="s">
        <v>251</v>
      </c>
      <c r="M38" s="7" t="s">
        <v>1388</v>
      </c>
      <c r="N38" s="7" t="s">
        <v>130</v>
      </c>
      <c r="O38" s="7" t="s">
        <v>1389</v>
      </c>
      <c r="V38" s="7" t="s">
        <v>753</v>
      </c>
      <c r="X38" s="7" t="s">
        <v>1344</v>
      </c>
      <c r="Z38" s="7" t="s">
        <v>1390</v>
      </c>
      <c r="AA38" s="7" t="s">
        <v>334</v>
      </c>
      <c r="AC38" s="7" t="s">
        <v>334</v>
      </c>
      <c r="AE38" s="7" t="s">
        <v>334</v>
      </c>
      <c r="AH38" s="7" t="s">
        <v>1331</v>
      </c>
      <c r="AI38" s="7">
        <v>20</v>
      </c>
      <c r="AJ38" s="13"/>
      <c r="AM38" s="7" t="s">
        <v>334</v>
      </c>
      <c r="AP38" s="7" t="s">
        <v>1331</v>
      </c>
      <c r="AQ38" s="7">
        <v>12</v>
      </c>
      <c r="AR38" s="13"/>
      <c r="AU38" s="7" t="s">
        <v>334</v>
      </c>
      <c r="AX38" s="7" t="s">
        <v>1331</v>
      </c>
      <c r="AY38" s="7">
        <v>12</v>
      </c>
      <c r="AZ38" s="13"/>
      <c r="BC38" s="7" t="s">
        <v>334</v>
      </c>
      <c r="BE38" s="7" t="s">
        <v>334</v>
      </c>
      <c r="BH38" s="7" t="s">
        <v>334</v>
      </c>
      <c r="BK38" s="7" t="s">
        <v>1331</v>
      </c>
      <c r="BL38" s="7">
        <v>12</v>
      </c>
      <c r="BM38" s="13"/>
      <c r="BW38" s="13"/>
      <c r="CC38" s="7" t="s">
        <v>334</v>
      </c>
      <c r="CF38" s="7" t="s">
        <v>2973</v>
      </c>
      <c r="CH38" s="7" t="s">
        <v>334</v>
      </c>
      <c r="CL38" s="7" t="s">
        <v>1363</v>
      </c>
      <c r="CM38" s="7" t="s">
        <v>1363</v>
      </c>
      <c r="CN38" s="7" t="s">
        <v>1088</v>
      </c>
      <c r="CO38" s="7" t="s">
        <v>1363</v>
      </c>
      <c r="CP38" s="7" t="s">
        <v>1363</v>
      </c>
      <c r="CQ38" s="7" t="s">
        <v>1088</v>
      </c>
      <c r="CS38" s="7" t="s">
        <v>1363</v>
      </c>
      <c r="CT38" s="7" t="s">
        <v>1363</v>
      </c>
      <c r="CU38" s="7" t="s">
        <v>1363</v>
      </c>
      <c r="CV38" s="7" t="s">
        <v>1363</v>
      </c>
      <c r="CW38" s="7" t="s">
        <v>1088</v>
      </c>
      <c r="CX38" s="7" t="s">
        <v>1363</v>
      </c>
      <c r="CY38" s="7" t="s">
        <v>1088</v>
      </c>
      <c r="CZ38" s="7" t="s">
        <v>1088</v>
      </c>
      <c r="DA38" s="7" t="s">
        <v>1363</v>
      </c>
      <c r="DV38" s="7" t="s">
        <v>334</v>
      </c>
      <c r="DW38" s="7" t="s">
        <v>334</v>
      </c>
      <c r="DX38" s="7" t="s">
        <v>251</v>
      </c>
      <c r="DY38" s="7" t="s">
        <v>1331</v>
      </c>
      <c r="DZ38" s="7" t="s">
        <v>1363</v>
      </c>
      <c r="EB38" s="7" t="s">
        <v>1333</v>
      </c>
      <c r="EC38" s="7" t="s">
        <v>1331</v>
      </c>
      <c r="ED38" s="7" t="s">
        <v>1391</v>
      </c>
      <c r="EE38" s="7" t="s">
        <v>1335</v>
      </c>
      <c r="EI38" s="7" t="s">
        <v>3024</v>
      </c>
      <c r="EJ38" s="7" t="s">
        <v>1392</v>
      </c>
      <c r="EK38" s="7" t="s">
        <v>356</v>
      </c>
      <c r="ER38" s="7">
        <v>30</v>
      </c>
      <c r="FA38" s="7">
        <v>30</v>
      </c>
      <c r="FD38" s="7" t="s">
        <v>334</v>
      </c>
      <c r="FG38" s="7" t="s">
        <v>130</v>
      </c>
      <c r="FH38" s="7" t="s">
        <v>1393</v>
      </c>
      <c r="FI38" s="7" t="s">
        <v>1354</v>
      </c>
    </row>
    <row r="39" spans="1:166" ht="76.5" x14ac:dyDescent="0.2">
      <c r="A39" s="6" t="s">
        <v>52</v>
      </c>
      <c r="B39" s="7" t="s">
        <v>2967</v>
      </c>
      <c r="C39" s="7" t="s">
        <v>1447</v>
      </c>
      <c r="D39" s="7" t="s">
        <v>334</v>
      </c>
      <c r="G39" s="7" t="s">
        <v>1328</v>
      </c>
      <c r="K39" s="7" t="s">
        <v>1448</v>
      </c>
      <c r="V39" s="7" t="s">
        <v>753</v>
      </c>
      <c r="X39" s="7" t="s">
        <v>1330</v>
      </c>
      <c r="AA39" s="7" t="s">
        <v>334</v>
      </c>
      <c r="AC39" s="7" t="s">
        <v>334</v>
      </c>
      <c r="AE39" s="7" t="s">
        <v>334</v>
      </c>
      <c r="AH39" s="7" t="s">
        <v>1372</v>
      </c>
      <c r="AJ39" s="13">
        <v>90</v>
      </c>
      <c r="AK39" s="7">
        <v>17</v>
      </c>
      <c r="AR39" s="13"/>
      <c r="AZ39" s="13"/>
      <c r="BM39" s="13"/>
      <c r="CC39" s="7" t="s">
        <v>334</v>
      </c>
      <c r="CF39" s="7" t="s">
        <v>2998</v>
      </c>
      <c r="CH39" s="7" t="s">
        <v>334</v>
      </c>
      <c r="CL39" s="7" t="s">
        <v>1362</v>
      </c>
      <c r="CM39" s="7" t="s">
        <v>1406</v>
      </c>
      <c r="CN39" s="7" t="s">
        <v>1332</v>
      </c>
      <c r="CO39" s="7" t="s">
        <v>1406</v>
      </c>
      <c r="CP39" s="7" t="s">
        <v>1332</v>
      </c>
      <c r="CV39" s="7" t="s">
        <v>1406</v>
      </c>
      <c r="CW39" s="7" t="s">
        <v>1362</v>
      </c>
      <c r="CX39" s="7" t="s">
        <v>1362</v>
      </c>
      <c r="CY39" s="7" t="s">
        <v>1332</v>
      </c>
      <c r="CZ39" s="7" t="s">
        <v>1332</v>
      </c>
      <c r="DA39" s="7" t="s">
        <v>1406</v>
      </c>
      <c r="DV39" s="7" t="s">
        <v>334</v>
      </c>
      <c r="DW39" s="7" t="s">
        <v>334</v>
      </c>
      <c r="DX39" s="7" t="s">
        <v>251</v>
      </c>
      <c r="DY39" s="7" t="s">
        <v>1331</v>
      </c>
      <c r="DZ39" s="7" t="s">
        <v>1363</v>
      </c>
      <c r="EB39" s="7" t="s">
        <v>1333</v>
      </c>
      <c r="EC39" s="7" t="s">
        <v>1331</v>
      </c>
      <c r="ED39" s="7" t="s">
        <v>1391</v>
      </c>
      <c r="EE39" s="7" t="s">
        <v>1335</v>
      </c>
      <c r="EI39" s="7" t="s">
        <v>3014</v>
      </c>
      <c r="EK39" s="7" t="s">
        <v>356</v>
      </c>
      <c r="EL39" s="7">
        <v>1</v>
      </c>
      <c r="FG39" s="7" t="s">
        <v>1338</v>
      </c>
      <c r="FI39" s="7" t="s">
        <v>1354</v>
      </c>
      <c r="FJ39" s="7" t="s">
        <v>1449</v>
      </c>
    </row>
    <row r="40" spans="1:166" ht="102" x14ac:dyDescent="0.2">
      <c r="A40" s="6" t="s">
        <v>19</v>
      </c>
      <c r="B40" s="7" t="s">
        <v>2925</v>
      </c>
      <c r="D40" s="7" t="s">
        <v>334</v>
      </c>
      <c r="G40" s="7" t="s">
        <v>1340</v>
      </c>
      <c r="I40" s="7" t="s">
        <v>130</v>
      </c>
      <c r="J40" s="7" t="s">
        <v>1366</v>
      </c>
      <c r="L40" s="7" t="s">
        <v>334</v>
      </c>
      <c r="X40" s="7" t="s">
        <v>1350</v>
      </c>
      <c r="AA40" s="7" t="s">
        <v>334</v>
      </c>
      <c r="AC40" s="7" t="s">
        <v>334</v>
      </c>
      <c r="AE40" s="7" t="s">
        <v>334</v>
      </c>
      <c r="AH40" s="7" t="s">
        <v>1331</v>
      </c>
      <c r="AI40" s="7">
        <v>26</v>
      </c>
      <c r="AM40" s="7" t="s">
        <v>334</v>
      </c>
      <c r="AP40" s="7" t="s">
        <v>1331</v>
      </c>
      <c r="AQ40" s="7">
        <v>20</v>
      </c>
      <c r="AR40" s="13"/>
      <c r="AU40" s="7" t="s">
        <v>334</v>
      </c>
      <c r="AX40" s="7" t="s">
        <v>1331</v>
      </c>
      <c r="AY40" s="7">
        <v>20</v>
      </c>
      <c r="AZ40" s="13"/>
      <c r="BC40" s="7" t="s">
        <v>334</v>
      </c>
      <c r="BE40" s="7" t="s">
        <v>334</v>
      </c>
      <c r="BH40" s="7" t="s">
        <v>334</v>
      </c>
      <c r="BK40" s="7" t="s">
        <v>1331</v>
      </c>
      <c r="BL40" s="7">
        <v>20</v>
      </c>
      <c r="BP40" s="7" t="s">
        <v>334</v>
      </c>
      <c r="BS40" s="7" t="s">
        <v>2986</v>
      </c>
      <c r="BT40" s="7" t="s">
        <v>1367</v>
      </c>
      <c r="BU40" s="7" t="s">
        <v>1331</v>
      </c>
      <c r="BV40" s="7">
        <v>35</v>
      </c>
      <c r="BW40" s="13"/>
      <c r="BZ40" s="7" t="s">
        <v>251</v>
      </c>
      <c r="CA40" s="7" t="s">
        <v>334</v>
      </c>
      <c r="CC40" s="7" t="s">
        <v>334</v>
      </c>
      <c r="CF40" s="7" t="s">
        <v>2990</v>
      </c>
      <c r="CH40" s="7" t="s">
        <v>251</v>
      </c>
      <c r="CI40" s="7" t="s">
        <v>1331</v>
      </c>
      <c r="CJ40" s="7" t="s">
        <v>1356</v>
      </c>
      <c r="DV40" s="7" t="s">
        <v>334</v>
      </c>
      <c r="DW40" s="7" t="s">
        <v>334</v>
      </c>
      <c r="DX40" s="7" t="s">
        <v>334</v>
      </c>
      <c r="EK40" s="7" t="s">
        <v>356</v>
      </c>
      <c r="EL40" s="7">
        <v>5</v>
      </c>
      <c r="ER40" s="7">
        <v>5</v>
      </c>
      <c r="EV40" s="7">
        <v>20</v>
      </c>
      <c r="EZ40" s="7">
        <v>0</v>
      </c>
      <c r="FA40" s="7">
        <v>90</v>
      </c>
      <c r="FG40" s="7" t="s">
        <v>1338</v>
      </c>
      <c r="FI40" s="7" t="s">
        <v>1354</v>
      </c>
    </row>
    <row r="41" spans="1:166" ht="38.25" x14ac:dyDescent="0.2">
      <c r="A41" s="6" t="s">
        <v>51</v>
      </c>
      <c r="B41" s="7" t="s">
        <v>2950</v>
      </c>
      <c r="D41" s="7" t="s">
        <v>334</v>
      </c>
      <c r="G41" s="7" t="s">
        <v>1328</v>
      </c>
      <c r="K41" s="7" t="s">
        <v>1445</v>
      </c>
      <c r="V41" s="7" t="s">
        <v>753</v>
      </c>
      <c r="X41" s="7" t="s">
        <v>1350</v>
      </c>
      <c r="AA41" s="7" t="s">
        <v>334</v>
      </c>
      <c r="AC41" s="7" t="s">
        <v>334</v>
      </c>
      <c r="AE41" s="7" t="s">
        <v>334</v>
      </c>
      <c r="AH41" s="7" t="s">
        <v>1372</v>
      </c>
      <c r="AJ41" s="13">
        <v>75</v>
      </c>
      <c r="AK41" s="7">
        <v>6</v>
      </c>
      <c r="AR41" s="13"/>
      <c r="AZ41" s="13"/>
      <c r="BM41" s="13"/>
      <c r="EV41" s="7">
        <v>10</v>
      </c>
      <c r="EZ41" s="7">
        <v>0</v>
      </c>
      <c r="FA41" s="7">
        <v>365</v>
      </c>
      <c r="FG41" s="7" t="s">
        <v>1338</v>
      </c>
      <c r="FI41" s="7" t="s">
        <v>1354</v>
      </c>
      <c r="FJ41" s="7" t="s">
        <v>1446</v>
      </c>
    </row>
    <row r="42" spans="1:166" ht="102" x14ac:dyDescent="0.2">
      <c r="A42" s="6" t="s">
        <v>47</v>
      </c>
      <c r="B42" s="7" t="s">
        <v>2947</v>
      </c>
      <c r="AJ42" s="13"/>
      <c r="AR42" s="13"/>
      <c r="AU42" s="7" t="s">
        <v>334</v>
      </c>
      <c r="AX42" s="7" t="s">
        <v>1372</v>
      </c>
      <c r="AZ42" s="13">
        <v>100</v>
      </c>
      <c r="BA42" s="7">
        <v>12</v>
      </c>
      <c r="BC42" s="7" t="s">
        <v>334</v>
      </c>
      <c r="BE42" s="7" t="s">
        <v>334</v>
      </c>
      <c r="BH42" s="7" t="s">
        <v>334</v>
      </c>
      <c r="BK42" s="7" t="s">
        <v>1331</v>
      </c>
      <c r="BL42" s="7">
        <v>12</v>
      </c>
      <c r="BM42" s="13"/>
      <c r="CC42" s="7" t="s">
        <v>334</v>
      </c>
      <c r="CF42" s="7" t="s">
        <v>2979</v>
      </c>
      <c r="CH42" s="7" t="s">
        <v>251</v>
      </c>
      <c r="CI42" s="7" t="s">
        <v>1331</v>
      </c>
      <c r="CJ42" s="7" t="s">
        <v>1356</v>
      </c>
      <c r="DV42" s="7" t="s">
        <v>334</v>
      </c>
      <c r="DW42" s="7" t="s">
        <v>334</v>
      </c>
      <c r="DX42" s="7" t="s">
        <v>334</v>
      </c>
      <c r="EG42" s="7" t="s">
        <v>1356</v>
      </c>
      <c r="EH42" s="7" t="s">
        <v>1372</v>
      </c>
      <c r="EI42" s="7" t="s">
        <v>3007</v>
      </c>
      <c r="EK42" s="7" t="s">
        <v>356</v>
      </c>
      <c r="EL42" s="7">
        <v>3</v>
      </c>
      <c r="FG42" s="7" t="s">
        <v>1338</v>
      </c>
      <c r="FI42" s="7" t="s">
        <v>1339</v>
      </c>
    </row>
    <row r="43" spans="1:166" ht="127.5" x14ac:dyDescent="0.2">
      <c r="A43" s="6" t="s">
        <v>56</v>
      </c>
      <c r="B43" s="7" t="s">
        <v>2952</v>
      </c>
      <c r="D43" s="7" t="s">
        <v>334</v>
      </c>
      <c r="G43" s="7" t="s">
        <v>1328</v>
      </c>
      <c r="K43" s="7" t="s">
        <v>1455</v>
      </c>
      <c r="V43" s="7" t="s">
        <v>2896</v>
      </c>
      <c r="X43" s="7" t="s">
        <v>1344</v>
      </c>
      <c r="AA43" s="7" t="s">
        <v>334</v>
      </c>
      <c r="AC43" s="7" t="s">
        <v>334</v>
      </c>
      <c r="AE43" s="7" t="s">
        <v>334</v>
      </c>
      <c r="AH43" s="7" t="s">
        <v>1372</v>
      </c>
      <c r="AJ43" s="13">
        <v>100</v>
      </c>
      <c r="AK43" s="7">
        <v>26</v>
      </c>
      <c r="AM43" s="7" t="s">
        <v>334</v>
      </c>
      <c r="AP43" s="7" t="s">
        <v>1331</v>
      </c>
      <c r="AQ43" s="7">
        <v>26</v>
      </c>
      <c r="AR43" s="13"/>
      <c r="AU43" s="7" t="s">
        <v>334</v>
      </c>
      <c r="AX43" s="7" t="s">
        <v>1331</v>
      </c>
      <c r="AY43" s="7">
        <v>26</v>
      </c>
      <c r="AZ43" s="13"/>
      <c r="BC43" s="7" t="s">
        <v>334</v>
      </c>
      <c r="BE43" s="7" t="s">
        <v>334</v>
      </c>
      <c r="BH43" s="7" t="s">
        <v>334</v>
      </c>
      <c r="BK43" s="7" t="s">
        <v>1331</v>
      </c>
      <c r="BL43" s="7">
        <v>26</v>
      </c>
      <c r="BM43" s="13"/>
      <c r="BP43" s="7" t="s">
        <v>334</v>
      </c>
      <c r="BS43" s="7" t="s">
        <v>2982</v>
      </c>
      <c r="BU43" s="7" t="s">
        <v>1331</v>
      </c>
      <c r="BV43" s="7">
        <v>42</v>
      </c>
      <c r="BZ43" s="7" t="s">
        <v>251</v>
      </c>
      <c r="CA43" s="7" t="s">
        <v>251</v>
      </c>
      <c r="CB43" s="7" t="s">
        <v>1456</v>
      </c>
      <c r="CC43" s="7" t="s">
        <v>334</v>
      </c>
      <c r="CF43" s="7" t="s">
        <v>3006</v>
      </c>
      <c r="CG43" s="7" t="s">
        <v>1457</v>
      </c>
      <c r="CH43" s="7" t="s">
        <v>251</v>
      </c>
      <c r="CI43" s="7" t="s">
        <v>1331</v>
      </c>
      <c r="CJ43" s="7" t="s">
        <v>1332</v>
      </c>
      <c r="DV43" s="7" t="s">
        <v>334</v>
      </c>
      <c r="DW43" s="7" t="s">
        <v>334</v>
      </c>
      <c r="DX43" s="7" t="s">
        <v>334</v>
      </c>
      <c r="EB43" s="7" t="s">
        <v>1401</v>
      </c>
      <c r="EC43" s="7" t="s">
        <v>1052</v>
      </c>
      <c r="ED43" s="7" t="s">
        <v>1458</v>
      </c>
      <c r="EE43" s="7" t="s">
        <v>1335</v>
      </c>
      <c r="EI43" s="7" t="s">
        <v>3026</v>
      </c>
      <c r="EJ43" s="7" t="s">
        <v>1459</v>
      </c>
      <c r="EK43" s="7" t="s">
        <v>356</v>
      </c>
      <c r="EL43" s="7">
        <v>7</v>
      </c>
      <c r="EQ43" s="7">
        <v>0</v>
      </c>
      <c r="ER43" s="7">
        <v>14</v>
      </c>
      <c r="EZ43" s="7">
        <v>30</v>
      </c>
      <c r="FD43" s="7" t="s">
        <v>251</v>
      </c>
      <c r="FG43" s="7" t="s">
        <v>1338</v>
      </c>
      <c r="FI43" s="7" t="s">
        <v>1348</v>
      </c>
    </row>
    <row r="44" spans="1:166" ht="114.75" x14ac:dyDescent="0.2">
      <c r="A44" s="6" t="s">
        <v>62</v>
      </c>
      <c r="B44" s="7" t="s">
        <v>2957</v>
      </c>
      <c r="D44" s="7" t="s">
        <v>334</v>
      </c>
      <c r="G44" s="7" t="s">
        <v>1328</v>
      </c>
      <c r="K44" s="7" t="s">
        <v>1465</v>
      </c>
      <c r="V44" s="7" t="s">
        <v>753</v>
      </c>
      <c r="X44" s="7" t="s">
        <v>1350</v>
      </c>
      <c r="AA44" s="7" t="s">
        <v>334</v>
      </c>
      <c r="AC44" s="7" t="s">
        <v>334</v>
      </c>
      <c r="AE44" s="7" t="s">
        <v>334</v>
      </c>
      <c r="AH44" s="7" t="s">
        <v>1372</v>
      </c>
      <c r="AJ44" s="13">
        <v>75</v>
      </c>
      <c r="AK44" s="7">
        <v>17</v>
      </c>
      <c r="AR44" s="13"/>
      <c r="AU44" s="7" t="s">
        <v>358</v>
      </c>
      <c r="AV44" s="7">
        <v>90</v>
      </c>
      <c r="AX44" s="7" t="s">
        <v>1372</v>
      </c>
      <c r="AZ44" s="13">
        <v>75</v>
      </c>
      <c r="BA44" s="7">
        <v>0</v>
      </c>
      <c r="BC44" s="7" t="s">
        <v>334</v>
      </c>
      <c r="BE44" s="7" t="s">
        <v>334</v>
      </c>
      <c r="BH44" s="7" t="s">
        <v>334</v>
      </c>
      <c r="BK44" s="7" t="s">
        <v>1052</v>
      </c>
      <c r="BM44" s="13"/>
      <c r="BO44" s="7">
        <v>35</v>
      </c>
      <c r="BP44" s="7" t="s">
        <v>334</v>
      </c>
      <c r="BS44" s="7" t="s">
        <v>2983</v>
      </c>
      <c r="BU44" s="7" t="s">
        <v>1052</v>
      </c>
      <c r="BZ44" s="7" t="s">
        <v>251</v>
      </c>
      <c r="CA44" s="7" t="s">
        <v>334</v>
      </c>
      <c r="CC44" s="7" t="s">
        <v>358</v>
      </c>
      <c r="CD44" s="7">
        <v>90</v>
      </c>
      <c r="CF44" s="7" t="s">
        <v>2983</v>
      </c>
      <c r="CH44" s="7" t="s">
        <v>251</v>
      </c>
      <c r="CI44" s="7" t="s">
        <v>1331</v>
      </c>
      <c r="CJ44" s="7" t="s">
        <v>1356</v>
      </c>
      <c r="DV44" s="7" t="s">
        <v>334</v>
      </c>
      <c r="DW44" s="7" t="s">
        <v>334</v>
      </c>
      <c r="DX44" s="7" t="s">
        <v>251</v>
      </c>
      <c r="DY44" s="7" t="s">
        <v>1052</v>
      </c>
      <c r="EG44" s="7" t="s">
        <v>1397</v>
      </c>
      <c r="EH44" s="7" t="s">
        <v>1353</v>
      </c>
      <c r="ER44" s="7">
        <v>90</v>
      </c>
      <c r="EV44" s="7">
        <v>180</v>
      </c>
      <c r="EZ44" s="7">
        <v>0</v>
      </c>
      <c r="FA44" s="7">
        <v>180</v>
      </c>
      <c r="FD44" s="7" t="s">
        <v>251</v>
      </c>
      <c r="FG44" s="7" t="s">
        <v>1338</v>
      </c>
      <c r="FI44" s="7" t="s">
        <v>1354</v>
      </c>
    </row>
    <row r="45" spans="1:166" ht="114.75" x14ac:dyDescent="0.2">
      <c r="A45" s="6" t="s">
        <v>21</v>
      </c>
      <c r="B45" s="7" t="s">
        <v>2927</v>
      </c>
      <c r="D45" s="7" t="s">
        <v>334</v>
      </c>
      <c r="G45" s="7" t="s">
        <v>1340</v>
      </c>
      <c r="I45" s="7" t="s">
        <v>1371</v>
      </c>
      <c r="V45" s="7" t="s">
        <v>753</v>
      </c>
      <c r="X45" s="7" t="s">
        <v>1350</v>
      </c>
      <c r="AA45" s="7" t="s">
        <v>334</v>
      </c>
      <c r="AC45" s="7" t="s">
        <v>334</v>
      </c>
      <c r="AE45" s="7" t="s">
        <v>334</v>
      </c>
      <c r="AH45" s="7" t="s">
        <v>1372</v>
      </c>
      <c r="AJ45" s="13">
        <v>100</v>
      </c>
      <c r="AK45" s="7">
        <v>16</v>
      </c>
      <c r="AM45" s="7" t="s">
        <v>334</v>
      </c>
      <c r="AP45" s="7" t="s">
        <v>1372</v>
      </c>
      <c r="AR45" s="13">
        <v>100</v>
      </c>
      <c r="AS45" s="7">
        <v>16</v>
      </c>
      <c r="AZ45" s="13"/>
      <c r="BE45" s="7" t="s">
        <v>334</v>
      </c>
      <c r="BH45" s="7" t="s">
        <v>334</v>
      </c>
      <c r="BK45" s="7" t="s">
        <v>1372</v>
      </c>
      <c r="BM45" s="13">
        <v>100</v>
      </c>
      <c r="BN45" s="7">
        <v>16</v>
      </c>
      <c r="BP45" s="7" t="s">
        <v>334</v>
      </c>
      <c r="BS45" s="7" t="s">
        <v>2975</v>
      </c>
      <c r="BU45" s="7" t="s">
        <v>1331</v>
      </c>
      <c r="BV45" s="7">
        <v>10</v>
      </c>
      <c r="BW45" s="13"/>
      <c r="BZ45" s="7" t="s">
        <v>251</v>
      </c>
      <c r="CA45" s="7" t="s">
        <v>251</v>
      </c>
      <c r="CB45" s="7" t="s">
        <v>1373</v>
      </c>
      <c r="CC45" s="7" t="s">
        <v>334</v>
      </c>
      <c r="CF45" s="7" t="s">
        <v>2983</v>
      </c>
      <c r="CH45" s="7" t="s">
        <v>251</v>
      </c>
      <c r="CI45" s="7" t="s">
        <v>1331</v>
      </c>
      <c r="CJ45" s="7" t="s">
        <v>1088</v>
      </c>
      <c r="DV45" s="7" t="s">
        <v>334</v>
      </c>
      <c r="DW45" s="7" t="s">
        <v>334</v>
      </c>
      <c r="DX45" s="7" t="s">
        <v>345</v>
      </c>
      <c r="FA45" s="7">
        <v>180</v>
      </c>
      <c r="FG45" s="7" t="s">
        <v>130</v>
      </c>
      <c r="FH45" s="7" t="s">
        <v>1374</v>
      </c>
      <c r="FI45" s="7" t="s">
        <v>1348</v>
      </c>
      <c r="FJ45" s="7" t="s">
        <v>1375</v>
      </c>
    </row>
    <row r="46" spans="1:166" ht="38.25" x14ac:dyDescent="0.2">
      <c r="A46" s="6" t="s">
        <v>12</v>
      </c>
      <c r="B46" s="7" t="s">
        <v>2918</v>
      </c>
      <c r="D46" s="7" t="s">
        <v>334</v>
      </c>
      <c r="G46" s="7" t="s">
        <v>1340</v>
      </c>
      <c r="I46" s="7" t="s">
        <v>130</v>
      </c>
      <c r="J46" s="7" t="s">
        <v>1341</v>
      </c>
      <c r="L46" s="7" t="s">
        <v>251</v>
      </c>
      <c r="M46" s="7" t="s">
        <v>1342</v>
      </c>
      <c r="N46" s="7" t="s">
        <v>130</v>
      </c>
      <c r="O46" s="7" t="s">
        <v>1343</v>
      </c>
      <c r="V46" s="7" t="s">
        <v>753</v>
      </c>
      <c r="X46" s="7" t="s">
        <v>1344</v>
      </c>
      <c r="Z46" s="7" t="s">
        <v>1345</v>
      </c>
      <c r="AA46" s="7" t="s">
        <v>334</v>
      </c>
      <c r="AC46" s="7" t="s">
        <v>334</v>
      </c>
      <c r="AR46" s="13"/>
      <c r="AZ46" s="13"/>
      <c r="BW46" s="13"/>
      <c r="EL46" s="7">
        <v>6</v>
      </c>
      <c r="FD46" s="7" t="s">
        <v>334</v>
      </c>
      <c r="FG46" s="7" t="s">
        <v>1338</v>
      </c>
      <c r="FI46" s="7" t="s">
        <v>1346</v>
      </c>
    </row>
    <row r="47" spans="1:166" ht="114.75" x14ac:dyDescent="0.2">
      <c r="A47" s="6" t="s">
        <v>64</v>
      </c>
      <c r="B47" s="7" t="s">
        <v>2958</v>
      </c>
      <c r="D47" s="7" t="s">
        <v>334</v>
      </c>
      <c r="G47" s="7" t="s">
        <v>1328</v>
      </c>
      <c r="K47" s="7" t="s">
        <v>1470</v>
      </c>
      <c r="V47" s="7" t="s">
        <v>753</v>
      </c>
      <c r="X47" s="7" t="s">
        <v>1330</v>
      </c>
      <c r="AA47" s="7" t="s">
        <v>334</v>
      </c>
      <c r="AC47" s="7" t="s">
        <v>334</v>
      </c>
      <c r="AJ47" s="13"/>
      <c r="AR47" s="13"/>
      <c r="AZ47" s="13"/>
      <c r="BM47" s="13"/>
      <c r="CC47" s="7" t="s">
        <v>334</v>
      </c>
      <c r="CF47" s="7" t="s">
        <v>2981</v>
      </c>
      <c r="CH47" s="7" t="s">
        <v>334</v>
      </c>
      <c r="CL47" s="7" t="s">
        <v>1356</v>
      </c>
      <c r="CM47" s="7" t="s">
        <v>1362</v>
      </c>
      <c r="CN47" s="7" t="s">
        <v>1356</v>
      </c>
      <c r="CO47" s="7" t="s">
        <v>1362</v>
      </c>
      <c r="CP47" s="7" t="s">
        <v>1356</v>
      </c>
      <c r="CQ47" s="7" t="s">
        <v>1356</v>
      </c>
      <c r="CS47" s="7" t="s">
        <v>1362</v>
      </c>
      <c r="CT47" s="7" t="s">
        <v>1362</v>
      </c>
      <c r="CU47" s="7" t="s">
        <v>1362</v>
      </c>
      <c r="CV47" s="7" t="s">
        <v>1362</v>
      </c>
      <c r="CW47" s="7" t="s">
        <v>1356</v>
      </c>
      <c r="CX47" s="7" t="s">
        <v>1362</v>
      </c>
      <c r="CY47" s="7" t="s">
        <v>1356</v>
      </c>
      <c r="CZ47" s="7" t="s">
        <v>1356</v>
      </c>
      <c r="DA47" s="7" t="s">
        <v>1362</v>
      </c>
      <c r="DB47" s="7" t="s">
        <v>1362</v>
      </c>
      <c r="DV47" s="7" t="s">
        <v>334</v>
      </c>
      <c r="DW47" s="7" t="s">
        <v>251</v>
      </c>
      <c r="DX47" s="7" t="s">
        <v>334</v>
      </c>
      <c r="EI47" s="7" t="s">
        <v>3028</v>
      </c>
      <c r="EJ47" s="7" t="s">
        <v>1471</v>
      </c>
      <c r="EK47" s="7" t="s">
        <v>356</v>
      </c>
      <c r="EL47" s="7">
        <v>1</v>
      </c>
      <c r="FG47" s="7" t="s">
        <v>130</v>
      </c>
      <c r="FH47" s="7" t="s">
        <v>1347</v>
      </c>
      <c r="FI47" s="7" t="s">
        <v>1339</v>
      </c>
    </row>
    <row r="48" spans="1:166" ht="76.5" x14ac:dyDescent="0.2">
      <c r="A48" s="6" t="s">
        <v>38</v>
      </c>
      <c r="B48" s="7" t="s">
        <v>2939</v>
      </c>
      <c r="D48" s="7" t="s">
        <v>334</v>
      </c>
      <c r="G48" s="7" t="s">
        <v>1328</v>
      </c>
      <c r="K48" s="7" t="s">
        <v>1418</v>
      </c>
      <c r="V48" s="7" t="s">
        <v>753</v>
      </c>
      <c r="X48" s="7" t="s">
        <v>1330</v>
      </c>
      <c r="AA48" s="7" t="s">
        <v>334</v>
      </c>
      <c r="AC48" s="7" t="s">
        <v>334</v>
      </c>
      <c r="AE48" s="7" t="s">
        <v>334</v>
      </c>
      <c r="AH48" s="7" t="s">
        <v>1331</v>
      </c>
      <c r="AI48" s="7">
        <v>8</v>
      </c>
      <c r="AJ48" s="13"/>
      <c r="AR48" s="13"/>
      <c r="AU48" s="7" t="s">
        <v>334</v>
      </c>
      <c r="AX48" s="7" t="s">
        <v>1331</v>
      </c>
      <c r="AY48" s="7">
        <v>2</v>
      </c>
      <c r="AZ48" s="13"/>
      <c r="BC48" s="7" t="s">
        <v>334</v>
      </c>
      <c r="BM48" s="13"/>
      <c r="BW48" s="13"/>
      <c r="EB48" s="7">
        <v>0</v>
      </c>
      <c r="EC48" s="7" t="s">
        <v>1052</v>
      </c>
      <c r="ED48" s="7" t="s">
        <v>1419</v>
      </c>
      <c r="EE48" s="7" t="s">
        <v>1420</v>
      </c>
      <c r="EF48" s="7" t="s">
        <v>1421</v>
      </c>
      <c r="EI48" s="7" t="s">
        <v>3015</v>
      </c>
      <c r="EK48" s="7" t="s">
        <v>356</v>
      </c>
      <c r="EL48" s="7">
        <v>4</v>
      </c>
      <c r="ER48" s="7">
        <v>20</v>
      </c>
      <c r="ET48" s="7">
        <v>5</v>
      </c>
      <c r="EV48" s="7">
        <v>10</v>
      </c>
      <c r="FD48" s="7" t="s">
        <v>334</v>
      </c>
      <c r="FG48" s="7" t="s">
        <v>1338</v>
      </c>
      <c r="FI48" s="7" t="s">
        <v>1339</v>
      </c>
    </row>
    <row r="49" spans="1:166" ht="76.5" x14ac:dyDescent="0.2">
      <c r="A49" s="6" t="s">
        <v>41</v>
      </c>
      <c r="B49" s="7" t="s">
        <v>2942</v>
      </c>
      <c r="D49" s="7" t="s">
        <v>334</v>
      </c>
      <c r="G49" s="7" t="s">
        <v>1328</v>
      </c>
      <c r="K49" s="7" t="s">
        <v>1426</v>
      </c>
      <c r="V49" s="7" t="s">
        <v>753</v>
      </c>
      <c r="X49" s="7" t="s">
        <v>1330</v>
      </c>
      <c r="AA49" s="7" t="s">
        <v>334</v>
      </c>
      <c r="AC49" s="7" t="s">
        <v>334</v>
      </c>
      <c r="AE49" s="7" t="s">
        <v>334</v>
      </c>
      <c r="AH49" s="7" t="s">
        <v>1331</v>
      </c>
      <c r="AI49" s="7">
        <v>18</v>
      </c>
      <c r="AJ49" s="13"/>
      <c r="AM49" s="7" t="s">
        <v>334</v>
      </c>
      <c r="AP49" s="7" t="s">
        <v>1331</v>
      </c>
      <c r="AQ49" s="7">
        <v>18</v>
      </c>
      <c r="AR49" s="13"/>
      <c r="AU49" s="7" t="s">
        <v>334</v>
      </c>
      <c r="AX49" s="7" t="s">
        <v>1331</v>
      </c>
      <c r="AY49" s="7">
        <v>18</v>
      </c>
      <c r="AZ49" s="13"/>
      <c r="BC49" s="7" t="s">
        <v>334</v>
      </c>
      <c r="BE49" s="7" t="s">
        <v>334</v>
      </c>
      <c r="BH49" s="7" t="s">
        <v>334</v>
      </c>
      <c r="BK49" s="7" t="s">
        <v>1331</v>
      </c>
      <c r="BL49" s="7">
        <v>18</v>
      </c>
      <c r="BM49" s="13"/>
      <c r="CC49" s="7" t="s">
        <v>334</v>
      </c>
      <c r="CF49" s="7" t="s">
        <v>2982</v>
      </c>
      <c r="CH49" s="7" t="s">
        <v>251</v>
      </c>
      <c r="CI49" s="7" t="s">
        <v>1331</v>
      </c>
      <c r="CJ49" s="7" t="s">
        <v>1088</v>
      </c>
      <c r="DV49" s="7" t="s">
        <v>334</v>
      </c>
      <c r="DW49" s="7" t="s">
        <v>334</v>
      </c>
      <c r="DX49" s="7" t="s">
        <v>334</v>
      </c>
      <c r="EB49" s="7" t="s">
        <v>1333</v>
      </c>
      <c r="EC49" s="7" t="s">
        <v>1353</v>
      </c>
      <c r="ED49" s="7" t="s">
        <v>1427</v>
      </c>
      <c r="EE49" s="7" t="s">
        <v>1335</v>
      </c>
      <c r="EG49" s="7" t="s">
        <v>1336</v>
      </c>
      <c r="EH49" s="7" t="s">
        <v>1331</v>
      </c>
      <c r="EI49" s="7" t="s">
        <v>3016</v>
      </c>
      <c r="EK49" s="7" t="s">
        <v>356</v>
      </c>
      <c r="EX49" s="7">
        <v>10</v>
      </c>
      <c r="FG49" s="7" t="s">
        <v>1338</v>
      </c>
      <c r="FI49" s="7" t="s">
        <v>1346</v>
      </c>
    </row>
    <row r="50" spans="1:166" ht="102" x14ac:dyDescent="0.2">
      <c r="A50" s="6" t="s">
        <v>29</v>
      </c>
      <c r="B50" s="7" t="s">
        <v>2966</v>
      </c>
      <c r="C50" s="7" t="s">
        <v>1394</v>
      </c>
      <c r="D50" s="7" t="s">
        <v>334</v>
      </c>
      <c r="G50" s="7" t="s">
        <v>1395</v>
      </c>
      <c r="K50" s="7" t="s">
        <v>1396</v>
      </c>
      <c r="V50" s="7" t="s">
        <v>753</v>
      </c>
      <c r="AA50" s="7" t="s">
        <v>334</v>
      </c>
      <c r="AC50" s="7" t="s">
        <v>334</v>
      </c>
      <c r="AJ50" s="13"/>
      <c r="AM50" s="7" t="s">
        <v>334</v>
      </c>
      <c r="AP50" s="7" t="s">
        <v>1372</v>
      </c>
      <c r="AR50" s="13">
        <v>100</v>
      </c>
      <c r="AS50" s="7">
        <v>4</v>
      </c>
      <c r="AU50" s="7" t="s">
        <v>334</v>
      </c>
      <c r="AX50" s="7" t="s">
        <v>1372</v>
      </c>
      <c r="AZ50" s="13">
        <v>100</v>
      </c>
      <c r="BA50" s="7">
        <v>4</v>
      </c>
      <c r="BC50" s="7" t="s">
        <v>334</v>
      </c>
      <c r="BE50" s="7" t="s">
        <v>334</v>
      </c>
      <c r="BH50" s="7" t="s">
        <v>334</v>
      </c>
      <c r="BK50" s="7" t="s">
        <v>1372</v>
      </c>
      <c r="BM50" s="13">
        <v>100</v>
      </c>
      <c r="BN50" s="7">
        <v>4</v>
      </c>
      <c r="BP50" s="7" t="s">
        <v>334</v>
      </c>
      <c r="BS50" s="7" t="s">
        <v>2977</v>
      </c>
      <c r="BU50" s="7" t="s">
        <v>1372</v>
      </c>
      <c r="BW50" s="13">
        <v>100</v>
      </c>
      <c r="BX50" s="7">
        <v>84</v>
      </c>
      <c r="BZ50" s="7" t="s">
        <v>251</v>
      </c>
      <c r="CA50" s="7" t="s">
        <v>334</v>
      </c>
      <c r="CC50" s="7" t="s">
        <v>334</v>
      </c>
      <c r="CF50" s="7" t="s">
        <v>2995</v>
      </c>
      <c r="CH50" s="7" t="s">
        <v>334</v>
      </c>
      <c r="CL50" s="7" t="s">
        <v>1088</v>
      </c>
      <c r="CM50" s="7" t="s">
        <v>1088</v>
      </c>
      <c r="CN50" s="7" t="s">
        <v>1332</v>
      </c>
      <c r="CO50" s="7" t="s">
        <v>1362</v>
      </c>
      <c r="CP50" s="7" t="s">
        <v>1332</v>
      </c>
      <c r="CR50" s="7" t="s">
        <v>1362</v>
      </c>
      <c r="CS50" s="7" t="s">
        <v>1088</v>
      </c>
      <c r="CT50" s="7" t="s">
        <v>1088</v>
      </c>
      <c r="CU50" s="7" t="s">
        <v>1088</v>
      </c>
      <c r="CV50" s="7" t="s">
        <v>1362</v>
      </c>
      <c r="CW50" s="7" t="s">
        <v>1088</v>
      </c>
      <c r="CX50" s="7" t="s">
        <v>1088</v>
      </c>
      <c r="CY50" s="7" t="s">
        <v>1332</v>
      </c>
      <c r="CZ50" s="7" t="s">
        <v>1332</v>
      </c>
      <c r="DA50" s="7" t="s">
        <v>1362</v>
      </c>
      <c r="DV50" s="7" t="s">
        <v>334</v>
      </c>
      <c r="DW50" s="7" t="s">
        <v>334</v>
      </c>
      <c r="DX50" s="7" t="s">
        <v>334</v>
      </c>
      <c r="EG50" s="7" t="s">
        <v>1397</v>
      </c>
      <c r="EH50" s="7" t="s">
        <v>1331</v>
      </c>
      <c r="EI50" s="7" t="s">
        <v>3011</v>
      </c>
      <c r="EK50" s="7" t="s">
        <v>356</v>
      </c>
      <c r="EL50" s="7">
        <v>1</v>
      </c>
      <c r="ER50" s="7">
        <v>30</v>
      </c>
      <c r="FA50" s="7">
        <v>180</v>
      </c>
      <c r="FD50" s="7" t="s">
        <v>334</v>
      </c>
      <c r="FG50" s="7" t="s">
        <v>1338</v>
      </c>
      <c r="FI50" s="7" t="s">
        <v>1354</v>
      </c>
      <c r="FJ50" s="7" t="s">
        <v>1398</v>
      </c>
    </row>
    <row r="51" spans="1:166" ht="140.25" x14ac:dyDescent="0.2">
      <c r="A51" s="6" t="s">
        <v>17</v>
      </c>
      <c r="B51" s="7" t="s">
        <v>2923</v>
      </c>
      <c r="AE51" s="7" t="s">
        <v>334</v>
      </c>
      <c r="AH51" s="7" t="s">
        <v>1331</v>
      </c>
      <c r="AI51" s="7">
        <v>16</v>
      </c>
      <c r="AM51" s="7" t="s">
        <v>334</v>
      </c>
      <c r="AP51" s="7" t="s">
        <v>1331</v>
      </c>
      <c r="AQ51" s="7">
        <v>6</v>
      </c>
      <c r="AR51" s="13"/>
      <c r="AU51" s="7" t="s">
        <v>334</v>
      </c>
      <c r="AX51" s="7" t="s">
        <v>1331</v>
      </c>
      <c r="AY51" s="7">
        <v>6</v>
      </c>
      <c r="AZ51" s="13"/>
      <c r="BC51" s="7" t="s">
        <v>334</v>
      </c>
      <c r="BE51" s="7" t="s">
        <v>334</v>
      </c>
      <c r="BH51" s="7" t="s">
        <v>334</v>
      </c>
      <c r="BK51" s="7" t="s">
        <v>1331</v>
      </c>
      <c r="BL51" s="7">
        <v>6</v>
      </c>
      <c r="BW51" s="13"/>
      <c r="CC51" s="7" t="s">
        <v>334</v>
      </c>
      <c r="CF51" s="7" t="s">
        <v>3004</v>
      </c>
      <c r="CG51" s="7" t="s">
        <v>1359</v>
      </c>
      <c r="CH51" s="7" t="s">
        <v>251</v>
      </c>
      <c r="CI51" s="7" t="s">
        <v>1331</v>
      </c>
      <c r="CJ51" s="7" t="s">
        <v>1088</v>
      </c>
      <c r="DV51" s="7" t="s">
        <v>334</v>
      </c>
      <c r="DW51" s="7" t="s">
        <v>334</v>
      </c>
      <c r="DX51" s="7" t="s">
        <v>334</v>
      </c>
      <c r="EX51" s="7">
        <v>10</v>
      </c>
      <c r="EY51" s="7">
        <v>3</v>
      </c>
      <c r="FG51" s="7" t="s">
        <v>1338</v>
      </c>
      <c r="FI51" s="7" t="s">
        <v>1339</v>
      </c>
      <c r="FJ51" s="7" t="s">
        <v>1360</v>
      </c>
    </row>
    <row r="52" spans="1:166" ht="76.5" x14ac:dyDescent="0.2">
      <c r="A52" s="6" t="s">
        <v>22</v>
      </c>
      <c r="B52" s="7" t="s">
        <v>1376</v>
      </c>
      <c r="AJ52" s="13"/>
      <c r="AR52" s="13"/>
      <c r="AZ52" s="13"/>
      <c r="BM52" s="13"/>
      <c r="BW52" s="13"/>
      <c r="CC52" s="7" t="s">
        <v>334</v>
      </c>
      <c r="CF52" s="7" t="s">
        <v>2992</v>
      </c>
      <c r="CH52" s="7" t="s">
        <v>251</v>
      </c>
      <c r="CI52" s="7" t="s">
        <v>1331</v>
      </c>
      <c r="CJ52" s="7" t="s">
        <v>1377</v>
      </c>
      <c r="DV52" s="7" t="s">
        <v>251</v>
      </c>
      <c r="DW52" s="7" t="s">
        <v>334</v>
      </c>
      <c r="DX52" s="7" t="s">
        <v>334</v>
      </c>
      <c r="FG52" s="7" t="s">
        <v>1338</v>
      </c>
      <c r="FI52" s="7" t="s">
        <v>1339</v>
      </c>
      <c r="FJ52" s="7" t="s">
        <v>1378</v>
      </c>
    </row>
    <row r="53" spans="1:166" ht="114.75" x14ac:dyDescent="0.2">
      <c r="A53" s="6" t="s">
        <v>53</v>
      </c>
      <c r="B53" s="7" t="s">
        <v>2936</v>
      </c>
      <c r="D53" s="7" t="s">
        <v>334</v>
      </c>
      <c r="G53" s="7" t="s">
        <v>1340</v>
      </c>
      <c r="I53" s="7" t="s">
        <v>1399</v>
      </c>
      <c r="L53" s="7" t="s">
        <v>334</v>
      </c>
      <c r="V53" s="7" t="s">
        <v>753</v>
      </c>
      <c r="X53" s="7" t="s">
        <v>1330</v>
      </c>
      <c r="AA53" s="7" t="s">
        <v>334</v>
      </c>
      <c r="AC53" s="7" t="s">
        <v>334</v>
      </c>
      <c r="AE53" s="7" t="s">
        <v>334</v>
      </c>
      <c r="AH53" s="7" t="s">
        <v>1331</v>
      </c>
      <c r="AI53" s="7">
        <v>20</v>
      </c>
      <c r="AJ53" s="13"/>
      <c r="AM53" s="7" t="s">
        <v>334</v>
      </c>
      <c r="AP53" s="7" t="s">
        <v>1331</v>
      </c>
      <c r="AQ53" s="7">
        <v>20</v>
      </c>
      <c r="AR53" s="13"/>
      <c r="AU53" s="7" t="s">
        <v>334</v>
      </c>
      <c r="AX53" s="7" t="s">
        <v>1331</v>
      </c>
      <c r="AY53" s="7">
        <v>20</v>
      </c>
      <c r="AZ53" s="13"/>
      <c r="BC53" s="7" t="s">
        <v>334</v>
      </c>
      <c r="BE53" s="7" t="s">
        <v>334</v>
      </c>
      <c r="BH53" s="7" t="s">
        <v>334</v>
      </c>
      <c r="BK53" s="7" t="s">
        <v>1331</v>
      </c>
      <c r="BL53" s="7">
        <v>20</v>
      </c>
      <c r="BM53" s="13"/>
      <c r="BP53" s="7" t="s">
        <v>334</v>
      </c>
      <c r="BS53" s="7" t="s">
        <v>2981</v>
      </c>
      <c r="BU53" s="7" t="s">
        <v>1331</v>
      </c>
      <c r="BV53" s="7">
        <v>8</v>
      </c>
      <c r="BZ53" s="7" t="s">
        <v>334</v>
      </c>
      <c r="CA53" s="7" t="s">
        <v>251</v>
      </c>
      <c r="CB53" s="7" t="s">
        <v>1450</v>
      </c>
      <c r="CC53" s="7" t="s">
        <v>334</v>
      </c>
      <c r="CF53" s="7" t="s">
        <v>2983</v>
      </c>
      <c r="CH53" s="7" t="s">
        <v>334</v>
      </c>
      <c r="CL53" s="7" t="s">
        <v>1332</v>
      </c>
      <c r="CM53" s="7" t="s">
        <v>1332</v>
      </c>
      <c r="CN53" s="7" t="s">
        <v>1332</v>
      </c>
      <c r="CO53" s="7" t="s">
        <v>1088</v>
      </c>
      <c r="CP53" s="7" t="s">
        <v>1332</v>
      </c>
      <c r="CQ53" s="7" t="s">
        <v>1332</v>
      </c>
      <c r="CR53" s="7" t="s">
        <v>1088</v>
      </c>
      <c r="CS53" s="7" t="s">
        <v>1088</v>
      </c>
      <c r="CT53" s="7" t="s">
        <v>1088</v>
      </c>
      <c r="CU53" s="7" t="s">
        <v>1088</v>
      </c>
      <c r="CV53" s="7" t="s">
        <v>1088</v>
      </c>
      <c r="CW53" s="7" t="s">
        <v>1332</v>
      </c>
      <c r="CX53" s="7" t="s">
        <v>1332</v>
      </c>
      <c r="CY53" s="7" t="s">
        <v>1332</v>
      </c>
      <c r="CZ53" s="7" t="s">
        <v>1332</v>
      </c>
      <c r="DA53" s="7" t="s">
        <v>1088</v>
      </c>
      <c r="DB53" s="7" t="s">
        <v>1088</v>
      </c>
      <c r="DV53" s="7" t="s">
        <v>334</v>
      </c>
      <c r="DW53" s="7" t="s">
        <v>334</v>
      </c>
      <c r="DX53" s="7" t="s">
        <v>334</v>
      </c>
      <c r="EG53" s="7" t="s">
        <v>1356</v>
      </c>
      <c r="EH53" s="7" t="s">
        <v>1331</v>
      </c>
      <c r="EI53" s="7" t="s">
        <v>3009</v>
      </c>
      <c r="EK53" s="7" t="s">
        <v>356</v>
      </c>
      <c r="EL53" s="7">
        <v>5</v>
      </c>
      <c r="ER53" s="7">
        <v>70</v>
      </c>
      <c r="EV53" s="7">
        <v>180</v>
      </c>
      <c r="EX53" s="7">
        <v>20</v>
      </c>
      <c r="FA53" s="7">
        <v>90</v>
      </c>
      <c r="FD53" s="7" t="s">
        <v>251</v>
      </c>
      <c r="FG53" s="7" t="s">
        <v>1338</v>
      </c>
      <c r="FI53" s="7" t="s">
        <v>1354</v>
      </c>
      <c r="FJ53" s="7" t="s">
        <v>1451</v>
      </c>
    </row>
    <row r="54" spans="1:166" ht="102" x14ac:dyDescent="0.2">
      <c r="A54" s="6" t="s">
        <v>43</v>
      </c>
      <c r="B54" s="7" t="s">
        <v>2944</v>
      </c>
      <c r="D54" s="7" t="s">
        <v>334</v>
      </c>
      <c r="G54" s="7" t="s">
        <v>1340</v>
      </c>
      <c r="I54" s="7" t="s">
        <v>130</v>
      </c>
      <c r="J54" s="7" t="s">
        <v>1430</v>
      </c>
      <c r="L54" s="7" t="s">
        <v>251</v>
      </c>
      <c r="M54" s="7" t="s">
        <v>1431</v>
      </c>
      <c r="N54" s="7" t="s">
        <v>1432</v>
      </c>
      <c r="V54" s="7" t="s">
        <v>2971</v>
      </c>
      <c r="X54" s="7" t="s">
        <v>1350</v>
      </c>
      <c r="AA54" s="7" t="s">
        <v>334</v>
      </c>
      <c r="AC54" s="7" t="s">
        <v>334</v>
      </c>
      <c r="AE54" s="7" t="s">
        <v>334</v>
      </c>
      <c r="AH54" s="7" t="s">
        <v>1331</v>
      </c>
      <c r="AI54" s="7">
        <v>26</v>
      </c>
      <c r="AJ54" s="13"/>
      <c r="AR54" s="13"/>
      <c r="AU54" s="7" t="s">
        <v>334</v>
      </c>
      <c r="AX54" s="7" t="s">
        <v>1331</v>
      </c>
      <c r="AY54" s="7">
        <v>17.399999999999999</v>
      </c>
      <c r="AZ54" s="13"/>
      <c r="BC54" s="7" t="s">
        <v>334</v>
      </c>
      <c r="BE54" s="7" t="s">
        <v>334</v>
      </c>
      <c r="BH54" s="7" t="s">
        <v>334</v>
      </c>
      <c r="BK54" s="7" t="s">
        <v>1331</v>
      </c>
      <c r="BL54" s="7">
        <v>17.399999999999999</v>
      </c>
      <c r="BM54" s="13"/>
      <c r="BP54" s="7" t="s">
        <v>334</v>
      </c>
      <c r="BS54" s="7" t="s">
        <v>2979</v>
      </c>
      <c r="BU54" s="7" t="s">
        <v>1331</v>
      </c>
      <c r="BV54" s="7">
        <v>30</v>
      </c>
      <c r="BZ54" s="7" t="s">
        <v>251</v>
      </c>
      <c r="CA54" s="7" t="s">
        <v>334</v>
      </c>
      <c r="CC54" s="7" t="s">
        <v>334</v>
      </c>
      <c r="CF54" s="7" t="s">
        <v>2992</v>
      </c>
      <c r="CH54" s="7" t="s">
        <v>334</v>
      </c>
      <c r="CL54" s="7" t="s">
        <v>1088</v>
      </c>
      <c r="CM54" s="7" t="s">
        <v>1088</v>
      </c>
      <c r="CN54" s="7" t="s">
        <v>1332</v>
      </c>
      <c r="CP54" s="7" t="s">
        <v>1332</v>
      </c>
      <c r="CQ54" s="7" t="s">
        <v>1088</v>
      </c>
      <c r="CS54" s="7" t="s">
        <v>1088</v>
      </c>
      <c r="CT54" s="7" t="s">
        <v>1088</v>
      </c>
      <c r="CU54" s="7" t="s">
        <v>1088</v>
      </c>
      <c r="CW54" s="7" t="s">
        <v>1088</v>
      </c>
      <c r="CX54" s="7" t="s">
        <v>1088</v>
      </c>
      <c r="CY54" s="7" t="s">
        <v>1332</v>
      </c>
      <c r="CZ54" s="7" t="s">
        <v>1088</v>
      </c>
      <c r="DV54" s="7" t="s">
        <v>334</v>
      </c>
      <c r="DW54" s="7" t="s">
        <v>334</v>
      </c>
      <c r="DX54" s="7" t="s">
        <v>334</v>
      </c>
      <c r="EB54" s="7" t="s">
        <v>1333</v>
      </c>
      <c r="EC54" s="7" t="s">
        <v>1331</v>
      </c>
      <c r="ED54" s="7" t="s">
        <v>1433</v>
      </c>
      <c r="EE54" s="7" t="s">
        <v>1335</v>
      </c>
      <c r="ER54" s="7">
        <v>99</v>
      </c>
      <c r="FD54" s="7" t="s">
        <v>251</v>
      </c>
      <c r="FG54" s="7" t="s">
        <v>1338</v>
      </c>
      <c r="FI54" s="7" t="s">
        <v>1339</v>
      </c>
    </row>
    <row r="55" spans="1:166" ht="76.5" x14ac:dyDescent="0.2">
      <c r="A55" s="6" t="s">
        <v>61</v>
      </c>
      <c r="B55" s="7" t="s">
        <v>2956</v>
      </c>
      <c r="D55" s="7" t="s">
        <v>334</v>
      </c>
      <c r="G55" s="7" t="s">
        <v>1340</v>
      </c>
      <c r="I55" s="7" t="s">
        <v>130</v>
      </c>
      <c r="J55" s="7" t="s">
        <v>1464</v>
      </c>
      <c r="L55" s="7" t="s">
        <v>251</v>
      </c>
      <c r="M55" s="7">
        <v>21</v>
      </c>
      <c r="N55" s="7" t="s">
        <v>1038</v>
      </c>
      <c r="V55" s="7" t="s">
        <v>753</v>
      </c>
      <c r="X55" s="7" t="s">
        <v>1330</v>
      </c>
      <c r="AA55" s="7" t="s">
        <v>334</v>
      </c>
      <c r="AC55" s="7" t="s">
        <v>334</v>
      </c>
      <c r="AE55" s="7" t="s">
        <v>334</v>
      </c>
      <c r="AH55" s="7" t="s">
        <v>1331</v>
      </c>
      <c r="AI55" s="7">
        <v>12</v>
      </c>
      <c r="AJ55" s="13"/>
      <c r="AM55" s="7" t="s">
        <v>334</v>
      </c>
      <c r="AP55" s="7" t="s">
        <v>1331</v>
      </c>
      <c r="AQ55" s="7">
        <v>12</v>
      </c>
      <c r="AR55" s="13"/>
      <c r="AU55" s="7" t="s">
        <v>334</v>
      </c>
      <c r="AX55" s="7" t="s">
        <v>1331</v>
      </c>
      <c r="AY55" s="7">
        <v>12</v>
      </c>
      <c r="AZ55" s="13"/>
      <c r="BC55" s="7" t="s">
        <v>334</v>
      </c>
      <c r="BM55" s="13"/>
      <c r="CC55" s="7" t="s">
        <v>334</v>
      </c>
      <c r="CF55" s="7" t="s">
        <v>2977</v>
      </c>
      <c r="CH55" s="7" t="s">
        <v>251</v>
      </c>
      <c r="CI55" s="7" t="s">
        <v>1331</v>
      </c>
      <c r="CJ55" s="7" t="s">
        <v>1088</v>
      </c>
      <c r="DV55" s="7" t="s">
        <v>334</v>
      </c>
      <c r="DW55" s="7" t="s">
        <v>334</v>
      </c>
      <c r="DX55" s="7" t="s">
        <v>334</v>
      </c>
      <c r="EG55" s="7" t="s">
        <v>1397</v>
      </c>
      <c r="EH55" s="7" t="s">
        <v>1331</v>
      </c>
      <c r="EX55" s="7">
        <v>10</v>
      </c>
      <c r="EZ55" s="7">
        <v>0</v>
      </c>
      <c r="FA55" s="7">
        <v>90</v>
      </c>
      <c r="FG55" s="7" t="s">
        <v>1338</v>
      </c>
      <c r="FI55" s="7" t="s">
        <v>1354</v>
      </c>
    </row>
    <row r="56" spans="1:166" ht="191.25" x14ac:dyDescent="0.2">
      <c r="A56" s="6" t="s">
        <v>72</v>
      </c>
      <c r="B56" s="7" t="s">
        <v>2964</v>
      </c>
      <c r="D56" s="7" t="s">
        <v>334</v>
      </c>
      <c r="G56" s="7" t="s">
        <v>1340</v>
      </c>
      <c r="I56" s="7" t="s">
        <v>1391</v>
      </c>
      <c r="L56" s="7" t="s">
        <v>334</v>
      </c>
      <c r="V56" s="7" t="s">
        <v>2898</v>
      </c>
      <c r="X56" s="7" t="s">
        <v>1350</v>
      </c>
      <c r="AA56" s="7" t="s">
        <v>334</v>
      </c>
      <c r="AC56" s="7" t="s">
        <v>334</v>
      </c>
      <c r="AE56" s="7" t="s">
        <v>334</v>
      </c>
      <c r="AH56" s="7" t="s">
        <v>1353</v>
      </c>
      <c r="AI56" s="7">
        <v>16</v>
      </c>
      <c r="AJ56" s="13">
        <v>100</v>
      </c>
      <c r="AK56" s="7">
        <v>0</v>
      </c>
      <c r="AL56" s="7">
        <v>0</v>
      </c>
      <c r="AM56" s="7" t="s">
        <v>334</v>
      </c>
      <c r="AP56" s="7" t="s">
        <v>1353</v>
      </c>
      <c r="AQ56" s="7">
        <v>16</v>
      </c>
      <c r="AR56" s="13">
        <v>100</v>
      </c>
      <c r="AS56" s="7">
        <v>0</v>
      </c>
      <c r="AT56" s="7">
        <v>0</v>
      </c>
      <c r="AU56" s="7" t="s">
        <v>334</v>
      </c>
      <c r="AX56" s="7" t="s">
        <v>1353</v>
      </c>
      <c r="AY56" s="7">
        <v>16</v>
      </c>
      <c r="AZ56" s="13">
        <v>100</v>
      </c>
      <c r="BA56" s="7">
        <v>0</v>
      </c>
      <c r="BB56" s="7">
        <v>0</v>
      </c>
      <c r="BC56" s="7" t="s">
        <v>334</v>
      </c>
      <c r="BE56" s="7" t="s">
        <v>334</v>
      </c>
      <c r="BH56" s="7" t="s">
        <v>334</v>
      </c>
      <c r="BK56" s="7" t="s">
        <v>1353</v>
      </c>
      <c r="BL56" s="7">
        <v>16</v>
      </c>
      <c r="BM56" s="13">
        <v>100</v>
      </c>
      <c r="BN56" s="7">
        <v>0</v>
      </c>
      <c r="BO56" s="7">
        <v>0</v>
      </c>
      <c r="BP56" s="7" t="s">
        <v>334</v>
      </c>
      <c r="BS56" s="7" t="s">
        <v>2972</v>
      </c>
      <c r="BU56" s="7" t="s">
        <v>1331</v>
      </c>
      <c r="BV56" s="7">
        <v>10</v>
      </c>
      <c r="BZ56" s="7" t="s">
        <v>334</v>
      </c>
      <c r="CA56" s="7" t="s">
        <v>334</v>
      </c>
      <c r="CC56" s="7" t="s">
        <v>334</v>
      </c>
      <c r="CF56" s="7" t="s">
        <v>3006</v>
      </c>
      <c r="CG56" s="7" t="s">
        <v>1479</v>
      </c>
      <c r="CH56" s="7" t="s">
        <v>334</v>
      </c>
      <c r="CL56" s="7" t="s">
        <v>1088</v>
      </c>
      <c r="CM56" s="7" t="s">
        <v>1088</v>
      </c>
      <c r="CN56" s="7" t="s">
        <v>1088</v>
      </c>
      <c r="CO56" s="7" t="s">
        <v>1362</v>
      </c>
      <c r="CP56" s="7" t="s">
        <v>1088</v>
      </c>
      <c r="CQ56" s="7" t="s">
        <v>1088</v>
      </c>
      <c r="CR56" s="7" t="s">
        <v>1362</v>
      </c>
      <c r="CS56" s="7" t="s">
        <v>1088</v>
      </c>
      <c r="CT56" s="7" t="s">
        <v>1088</v>
      </c>
      <c r="CU56" s="7" t="s">
        <v>1088</v>
      </c>
      <c r="CV56" s="7" t="s">
        <v>1362</v>
      </c>
      <c r="CW56" s="7" t="s">
        <v>1088</v>
      </c>
      <c r="CX56" s="7" t="s">
        <v>1088</v>
      </c>
      <c r="CY56" s="7" t="s">
        <v>1088</v>
      </c>
      <c r="CZ56" s="7" t="s">
        <v>1088</v>
      </c>
      <c r="DA56" s="7" t="s">
        <v>1362</v>
      </c>
      <c r="DB56" s="7" t="s">
        <v>1362</v>
      </c>
      <c r="DC56" s="7" t="s">
        <v>1362</v>
      </c>
      <c r="DU56" s="7" t="s">
        <v>1362</v>
      </c>
      <c r="DV56" s="7" t="s">
        <v>251</v>
      </c>
      <c r="DW56" s="7" t="s">
        <v>334</v>
      </c>
      <c r="DX56" s="7" t="s">
        <v>334</v>
      </c>
      <c r="EI56" s="7" t="s">
        <v>3022</v>
      </c>
      <c r="EK56" s="7" t="s">
        <v>356</v>
      </c>
      <c r="EV56" s="7">
        <v>30</v>
      </c>
      <c r="EX56" s="7">
        <v>15</v>
      </c>
      <c r="FG56" s="7" t="s">
        <v>1338</v>
      </c>
      <c r="FI56" s="7" t="s">
        <v>1348</v>
      </c>
      <c r="FJ56" s="7" t="s">
        <v>1480</v>
      </c>
    </row>
    <row r="57" spans="1:166" ht="102" x14ac:dyDescent="0.2">
      <c r="A57" s="6" t="s">
        <v>16</v>
      </c>
      <c r="B57" s="7" t="s">
        <v>2922</v>
      </c>
      <c r="D57" s="7" t="s">
        <v>334</v>
      </c>
      <c r="G57" s="7" t="s">
        <v>1328</v>
      </c>
      <c r="K57" s="7" t="s">
        <v>1355</v>
      </c>
      <c r="V57" s="7" t="s">
        <v>753</v>
      </c>
      <c r="X57" s="7" t="s">
        <v>1350</v>
      </c>
      <c r="AA57" s="7" t="s">
        <v>334</v>
      </c>
      <c r="AC57" s="7" t="s">
        <v>334</v>
      </c>
      <c r="AE57" s="7" t="s">
        <v>358</v>
      </c>
      <c r="AF57" s="7">
        <v>91</v>
      </c>
      <c r="AR57" s="13"/>
      <c r="AU57" s="7" t="s">
        <v>358</v>
      </c>
      <c r="AV57" s="7">
        <v>91</v>
      </c>
      <c r="AZ57" s="13"/>
      <c r="BC57" s="7" t="s">
        <v>334</v>
      </c>
      <c r="BE57" s="7" t="s">
        <v>334</v>
      </c>
      <c r="BH57" s="7" t="s">
        <v>334</v>
      </c>
      <c r="BW57" s="13"/>
      <c r="CC57" s="7" t="s">
        <v>334</v>
      </c>
      <c r="CF57" s="7" t="s">
        <v>2988</v>
      </c>
      <c r="CH57" s="7" t="s">
        <v>334</v>
      </c>
      <c r="CL57" s="7" t="s">
        <v>1356</v>
      </c>
      <c r="CM57" s="7" t="s">
        <v>1356</v>
      </c>
      <c r="CN57" s="7" t="s">
        <v>1332</v>
      </c>
      <c r="CP57" s="7" t="s">
        <v>1332</v>
      </c>
      <c r="CQ57" s="7" t="s">
        <v>1332</v>
      </c>
      <c r="CS57" s="7" t="s">
        <v>1356</v>
      </c>
      <c r="CT57" s="7" t="s">
        <v>1356</v>
      </c>
      <c r="CU57" s="7" t="s">
        <v>1356</v>
      </c>
      <c r="CW57" s="7" t="s">
        <v>1332</v>
      </c>
      <c r="CX57" s="7" t="s">
        <v>1332</v>
      </c>
      <c r="CY57" s="7" t="s">
        <v>1332</v>
      </c>
      <c r="CZ57" s="7" t="s">
        <v>1332</v>
      </c>
      <c r="DV57" s="7" t="s">
        <v>334</v>
      </c>
      <c r="DW57" s="7" t="s">
        <v>334</v>
      </c>
      <c r="DX57" s="7" t="s">
        <v>251</v>
      </c>
      <c r="DY57" s="7" t="s">
        <v>1331</v>
      </c>
      <c r="EI57" s="7" t="s">
        <v>1357</v>
      </c>
      <c r="EK57" s="7" t="s">
        <v>356</v>
      </c>
      <c r="ES57" s="7">
        <v>0</v>
      </c>
      <c r="EZ57" s="7">
        <v>0</v>
      </c>
      <c r="FA57" s="7">
        <v>15</v>
      </c>
      <c r="FB57" s="7">
        <v>1</v>
      </c>
      <c r="FD57" s="7" t="s">
        <v>334</v>
      </c>
      <c r="FE57" s="7" t="s">
        <v>1358</v>
      </c>
      <c r="FG57" s="7" t="s">
        <v>1338</v>
      </c>
      <c r="FI57" s="7" t="s">
        <v>1354</v>
      </c>
    </row>
    <row r="58" spans="1:166" ht="63.75" x14ac:dyDescent="0.2">
      <c r="A58" s="6" t="s">
        <v>32</v>
      </c>
      <c r="B58" s="7" t="s">
        <v>2935</v>
      </c>
      <c r="D58" s="7" t="s">
        <v>334</v>
      </c>
      <c r="G58" s="7" t="s">
        <v>1328</v>
      </c>
      <c r="K58" s="7" t="s">
        <v>1407</v>
      </c>
      <c r="V58" s="7" t="s">
        <v>753</v>
      </c>
      <c r="X58" s="7" t="s">
        <v>1330</v>
      </c>
      <c r="AA58" s="7" t="s">
        <v>334</v>
      </c>
      <c r="AC58" s="7" t="s">
        <v>334</v>
      </c>
      <c r="AE58" s="7" t="s">
        <v>334</v>
      </c>
      <c r="AH58" s="7" t="s">
        <v>1331</v>
      </c>
      <c r="AI58" s="7">
        <v>16</v>
      </c>
      <c r="AJ58" s="13"/>
      <c r="AR58" s="13"/>
      <c r="AZ58" s="13"/>
      <c r="BM58" s="13"/>
      <c r="BW58" s="13"/>
      <c r="CC58" s="7" t="s">
        <v>334</v>
      </c>
      <c r="CF58" s="7" t="s">
        <v>2982</v>
      </c>
      <c r="CH58" s="7" t="s">
        <v>251</v>
      </c>
      <c r="CI58" s="7" t="s">
        <v>1331</v>
      </c>
      <c r="CJ58" s="7" t="s">
        <v>1362</v>
      </c>
      <c r="DV58" s="7" t="s">
        <v>334</v>
      </c>
      <c r="DW58" s="7" t="s">
        <v>334</v>
      </c>
      <c r="DX58" s="7" t="s">
        <v>334</v>
      </c>
      <c r="EI58" s="7" t="s">
        <v>1408</v>
      </c>
      <c r="EK58" s="7" t="s">
        <v>356</v>
      </c>
      <c r="FG58" s="7" t="s">
        <v>1338</v>
      </c>
      <c r="FI58" s="7" t="s">
        <v>1354</v>
      </c>
    </row>
    <row r="59" spans="1:166" ht="38.25" x14ac:dyDescent="0.2">
      <c r="A59" s="6" t="s">
        <v>60</v>
      </c>
      <c r="B59" s="7" t="s">
        <v>2955</v>
      </c>
      <c r="D59" s="7" t="s">
        <v>334</v>
      </c>
      <c r="G59" s="7" t="s">
        <v>1340</v>
      </c>
      <c r="I59" s="7" t="s">
        <v>1416</v>
      </c>
      <c r="L59" s="7" t="s">
        <v>334</v>
      </c>
      <c r="V59" s="7" t="s">
        <v>2901</v>
      </c>
      <c r="X59" s="7" t="s">
        <v>1350</v>
      </c>
      <c r="AA59" s="7" t="s">
        <v>334</v>
      </c>
      <c r="AC59" s="7" t="s">
        <v>334</v>
      </c>
      <c r="AE59" s="7" t="s">
        <v>334</v>
      </c>
      <c r="AH59" s="7" t="s">
        <v>1353</v>
      </c>
      <c r="AI59" s="7">
        <v>15</v>
      </c>
      <c r="AJ59" s="13">
        <v>100</v>
      </c>
      <c r="AK59" s="7">
        <v>0</v>
      </c>
      <c r="AL59" s="7">
        <v>0</v>
      </c>
      <c r="AM59" s="7" t="s">
        <v>334</v>
      </c>
      <c r="AP59" s="7" t="s">
        <v>1331</v>
      </c>
      <c r="AQ59" s="7">
        <v>2</v>
      </c>
      <c r="AR59" s="13"/>
      <c r="AU59" s="7" t="s">
        <v>334</v>
      </c>
      <c r="AX59" s="7" t="s">
        <v>1052</v>
      </c>
      <c r="AZ59" s="13"/>
      <c r="BB59" s="7">
        <v>0</v>
      </c>
      <c r="BC59" s="7" t="s">
        <v>334</v>
      </c>
      <c r="BM59" s="13"/>
      <c r="FG59" s="7" t="s">
        <v>1338</v>
      </c>
      <c r="FI59" s="7" t="s">
        <v>1346</v>
      </c>
    </row>
    <row r="60" spans="1:166" ht="127.5" x14ac:dyDescent="0.2">
      <c r="A60" s="6" t="s">
        <v>39</v>
      </c>
      <c r="B60" s="7" t="s">
        <v>2940</v>
      </c>
      <c r="D60" s="7" t="s">
        <v>334</v>
      </c>
      <c r="G60" s="7" t="s">
        <v>1328</v>
      </c>
      <c r="K60" s="7" t="s">
        <v>1422</v>
      </c>
      <c r="V60" s="7" t="s">
        <v>2899</v>
      </c>
      <c r="X60" s="7" t="s">
        <v>1350</v>
      </c>
      <c r="AA60" s="7" t="s">
        <v>334</v>
      </c>
      <c r="AC60" s="7" t="s">
        <v>334</v>
      </c>
      <c r="AE60" s="7" t="s">
        <v>358</v>
      </c>
      <c r="AF60" s="7">
        <v>65</v>
      </c>
      <c r="AH60" s="7" t="s">
        <v>1331</v>
      </c>
      <c r="AI60" s="7">
        <v>20</v>
      </c>
      <c r="AJ60" s="13"/>
      <c r="AM60" s="7" t="s">
        <v>358</v>
      </c>
      <c r="AN60" s="7">
        <v>65</v>
      </c>
      <c r="AP60" s="7" t="s">
        <v>1353</v>
      </c>
      <c r="AQ60" s="7">
        <v>6</v>
      </c>
      <c r="AR60" s="13">
        <v>100</v>
      </c>
      <c r="AS60" s="7">
        <v>0</v>
      </c>
      <c r="AT60" s="7">
        <v>55</v>
      </c>
      <c r="AU60" s="7" t="s">
        <v>358</v>
      </c>
      <c r="AV60" s="7">
        <v>13</v>
      </c>
      <c r="AX60" s="7" t="s">
        <v>1353</v>
      </c>
      <c r="AY60" s="7">
        <v>6</v>
      </c>
      <c r="AZ60" s="13">
        <v>100</v>
      </c>
      <c r="BA60" s="7">
        <v>0</v>
      </c>
      <c r="BB60" s="7">
        <v>55</v>
      </c>
      <c r="BC60" s="7" t="s">
        <v>334</v>
      </c>
      <c r="BE60" s="7" t="s">
        <v>358</v>
      </c>
      <c r="BF60" s="7">
        <v>65</v>
      </c>
      <c r="BH60" s="7" t="s">
        <v>334</v>
      </c>
      <c r="BK60" s="7" t="s">
        <v>1353</v>
      </c>
      <c r="BL60" s="7">
        <v>6</v>
      </c>
      <c r="BM60" s="13">
        <v>100</v>
      </c>
      <c r="BN60" s="7">
        <v>0</v>
      </c>
      <c r="BO60" s="7">
        <v>57</v>
      </c>
      <c r="BP60" s="7" t="s">
        <v>334</v>
      </c>
      <c r="BS60" s="7" t="s">
        <v>2972</v>
      </c>
      <c r="BU60" s="7" t="s">
        <v>1353</v>
      </c>
      <c r="BV60" s="7">
        <v>20</v>
      </c>
      <c r="BW60" s="13">
        <v>100</v>
      </c>
      <c r="BX60" s="7">
        <v>0</v>
      </c>
      <c r="BY60" s="7">
        <v>165</v>
      </c>
      <c r="BZ60" s="7" t="s">
        <v>251</v>
      </c>
      <c r="CA60" s="7" t="s">
        <v>251</v>
      </c>
      <c r="CB60" s="7" t="s">
        <v>3370</v>
      </c>
      <c r="CC60" s="7" t="s">
        <v>334</v>
      </c>
      <c r="CF60" s="7" t="s">
        <v>2992</v>
      </c>
      <c r="CH60" s="7" t="s">
        <v>334</v>
      </c>
      <c r="CL60" s="7" t="s">
        <v>1356</v>
      </c>
      <c r="CM60" s="7" t="s">
        <v>1356</v>
      </c>
      <c r="CN60" s="7" t="s">
        <v>1088</v>
      </c>
      <c r="CP60" s="7" t="s">
        <v>1088</v>
      </c>
      <c r="CQ60" s="7" t="s">
        <v>1088</v>
      </c>
      <c r="CS60" s="7" t="s">
        <v>1356</v>
      </c>
      <c r="CT60" s="7" t="s">
        <v>1356</v>
      </c>
      <c r="CU60" s="7" t="s">
        <v>1356</v>
      </c>
      <c r="CW60" s="7" t="s">
        <v>1088</v>
      </c>
      <c r="CX60" s="7" t="s">
        <v>1088</v>
      </c>
      <c r="CY60" s="7" t="s">
        <v>1088</v>
      </c>
      <c r="CZ60" s="7" t="s">
        <v>1088</v>
      </c>
      <c r="DV60" s="7" t="s">
        <v>334</v>
      </c>
      <c r="DW60" s="7" t="s">
        <v>334</v>
      </c>
      <c r="DX60" s="7" t="s">
        <v>334</v>
      </c>
      <c r="EG60" s="7" t="s">
        <v>1336</v>
      </c>
      <c r="EH60" s="7" t="s">
        <v>1331</v>
      </c>
      <c r="ER60" s="7">
        <v>90</v>
      </c>
      <c r="ES60" s="7">
        <v>0</v>
      </c>
      <c r="EZ60" s="7">
        <v>0</v>
      </c>
      <c r="FA60" s="7">
        <v>90</v>
      </c>
      <c r="FD60" s="7" t="s">
        <v>251</v>
      </c>
      <c r="FG60" s="7" t="s">
        <v>1338</v>
      </c>
      <c r="FI60" s="7" t="s">
        <v>1339</v>
      </c>
    </row>
    <row r="61" spans="1:166" ht="76.5" x14ac:dyDescent="0.2">
      <c r="A61" s="6" t="s">
        <v>40</v>
      </c>
      <c r="B61" s="7" t="s">
        <v>2941</v>
      </c>
      <c r="D61" s="7" t="s">
        <v>334</v>
      </c>
      <c r="G61" s="7" t="s">
        <v>1340</v>
      </c>
      <c r="I61" s="7" t="s">
        <v>130</v>
      </c>
      <c r="J61" s="7" t="s">
        <v>1423</v>
      </c>
      <c r="L61" s="7" t="s">
        <v>334</v>
      </c>
      <c r="V61" s="7" t="s">
        <v>753</v>
      </c>
      <c r="X61" s="7" t="s">
        <v>1330</v>
      </c>
      <c r="AA61" s="7" t="s">
        <v>334</v>
      </c>
      <c r="AC61" s="7" t="s">
        <v>334</v>
      </c>
      <c r="AE61" s="7" t="s">
        <v>334</v>
      </c>
      <c r="AH61" s="7" t="s">
        <v>1372</v>
      </c>
      <c r="AJ61" s="13">
        <v>90</v>
      </c>
      <c r="AK61" s="7">
        <v>17</v>
      </c>
      <c r="AM61" s="7" t="s">
        <v>334</v>
      </c>
      <c r="AP61" s="7" t="s">
        <v>1331</v>
      </c>
      <c r="AQ61" s="7">
        <v>12</v>
      </c>
      <c r="AR61" s="13"/>
      <c r="AU61" s="7" t="s">
        <v>334</v>
      </c>
      <c r="AX61" s="7" t="s">
        <v>1331</v>
      </c>
      <c r="AY61" s="7">
        <v>12</v>
      </c>
      <c r="AZ61" s="13"/>
      <c r="BC61" s="7" t="s">
        <v>334</v>
      </c>
      <c r="BE61" s="7" t="s">
        <v>334</v>
      </c>
      <c r="BH61" s="7" t="s">
        <v>334</v>
      </c>
      <c r="BK61" s="7" t="s">
        <v>1331</v>
      </c>
      <c r="BL61" s="7">
        <v>12</v>
      </c>
      <c r="BM61" s="13"/>
      <c r="BP61" s="7" t="s">
        <v>334</v>
      </c>
      <c r="BS61" s="7" t="s">
        <v>2980</v>
      </c>
      <c r="BU61" s="7" t="s">
        <v>1331</v>
      </c>
      <c r="BV61" s="7">
        <v>40</v>
      </c>
      <c r="BZ61" s="7" t="s">
        <v>251</v>
      </c>
      <c r="CA61" s="7" t="s">
        <v>251</v>
      </c>
      <c r="CB61" s="7" t="s">
        <v>1424</v>
      </c>
      <c r="CC61" s="7" t="s">
        <v>334</v>
      </c>
      <c r="CF61" s="7" t="s">
        <v>2977</v>
      </c>
      <c r="CH61" s="7" t="s">
        <v>251</v>
      </c>
      <c r="CI61" s="7" t="s">
        <v>1331</v>
      </c>
      <c r="CJ61" s="7" t="s">
        <v>1362</v>
      </c>
      <c r="DV61" s="7" t="s">
        <v>334</v>
      </c>
      <c r="DW61" s="7" t="s">
        <v>334</v>
      </c>
      <c r="DX61" s="7" t="s">
        <v>251</v>
      </c>
      <c r="DY61" s="7" t="s">
        <v>1331</v>
      </c>
      <c r="DZ61" s="7" t="s">
        <v>1363</v>
      </c>
      <c r="EI61" s="7" t="s">
        <v>3024</v>
      </c>
      <c r="EJ61" s="7" t="s">
        <v>1425</v>
      </c>
      <c r="EK61" s="7" t="s">
        <v>356</v>
      </c>
      <c r="FD61" s="7" t="s">
        <v>251</v>
      </c>
      <c r="FG61" s="7" t="s">
        <v>1338</v>
      </c>
      <c r="FI61" s="7" t="s">
        <v>1339</v>
      </c>
    </row>
    <row r="62" spans="1:166" ht="102" x14ac:dyDescent="0.2">
      <c r="A62" s="6" t="s">
        <v>44</v>
      </c>
      <c r="B62" s="7" t="s">
        <v>2945</v>
      </c>
      <c r="D62" s="7" t="s">
        <v>334</v>
      </c>
      <c r="G62" s="7" t="s">
        <v>1328</v>
      </c>
      <c r="K62" s="7" t="s">
        <v>1434</v>
      </c>
      <c r="V62" s="7" t="s">
        <v>753</v>
      </c>
      <c r="X62" s="7" t="s">
        <v>1350</v>
      </c>
      <c r="AA62" s="7" t="s">
        <v>251</v>
      </c>
      <c r="AB62" s="7">
        <v>5</v>
      </c>
      <c r="AC62" s="7" t="s">
        <v>334</v>
      </c>
      <c r="AE62" s="7" t="s">
        <v>334</v>
      </c>
      <c r="AH62" s="7" t="s">
        <v>1331</v>
      </c>
      <c r="AI62" s="7">
        <v>20</v>
      </c>
      <c r="AJ62" s="13"/>
      <c r="AM62" s="7" t="s">
        <v>334</v>
      </c>
      <c r="AP62" s="7" t="s">
        <v>1331</v>
      </c>
      <c r="AQ62" s="7">
        <v>6</v>
      </c>
      <c r="AR62" s="13"/>
      <c r="AU62" s="7" t="s">
        <v>334</v>
      </c>
      <c r="AX62" s="7" t="s">
        <v>1331</v>
      </c>
      <c r="AY62" s="7">
        <v>6</v>
      </c>
      <c r="AZ62" s="13"/>
      <c r="BC62" s="7" t="s">
        <v>334</v>
      </c>
      <c r="BE62" s="7" t="s">
        <v>334</v>
      </c>
      <c r="BH62" s="7" t="s">
        <v>334</v>
      </c>
      <c r="BK62" s="7" t="s">
        <v>1331</v>
      </c>
      <c r="BL62" s="7">
        <v>6</v>
      </c>
      <c r="BM62" s="13"/>
      <c r="BP62" s="7" t="s">
        <v>334</v>
      </c>
      <c r="BS62" s="7" t="s">
        <v>2973</v>
      </c>
      <c r="BU62" s="7" t="s">
        <v>1331</v>
      </c>
      <c r="BV62" s="7">
        <v>20</v>
      </c>
      <c r="BZ62" s="7" t="s">
        <v>334</v>
      </c>
      <c r="CA62" s="7" t="s">
        <v>334</v>
      </c>
      <c r="CC62" s="7" t="s">
        <v>334</v>
      </c>
      <c r="CF62" s="7" t="s">
        <v>2973</v>
      </c>
      <c r="CH62" s="7" t="s">
        <v>251</v>
      </c>
      <c r="CI62" s="7" t="s">
        <v>1331</v>
      </c>
      <c r="CJ62" s="7" t="s">
        <v>1088</v>
      </c>
      <c r="DV62" s="7" t="s">
        <v>345</v>
      </c>
      <c r="DW62" s="7" t="s">
        <v>334</v>
      </c>
      <c r="DX62" s="7" t="s">
        <v>334</v>
      </c>
      <c r="EB62" s="7" t="s">
        <v>1435</v>
      </c>
      <c r="EC62" s="7" t="s">
        <v>1331</v>
      </c>
      <c r="ED62" s="7" t="s">
        <v>1419</v>
      </c>
      <c r="EE62" s="7" t="s">
        <v>1335</v>
      </c>
      <c r="EL62" s="7">
        <v>5</v>
      </c>
      <c r="EZ62" s="7">
        <v>10</v>
      </c>
      <c r="FG62" s="7" t="s">
        <v>1338</v>
      </c>
      <c r="FI62" s="7" t="s">
        <v>1354</v>
      </c>
    </row>
    <row r="63" spans="1:166" ht="102" x14ac:dyDescent="0.2">
      <c r="A63" s="6" t="s">
        <v>58</v>
      </c>
      <c r="B63" s="7" t="s">
        <v>2968</v>
      </c>
      <c r="C63" s="7" t="s">
        <v>1461</v>
      </c>
      <c r="D63" s="7" t="s">
        <v>334</v>
      </c>
      <c r="G63" s="7" t="s">
        <v>1340</v>
      </c>
      <c r="I63" s="7" t="s">
        <v>1391</v>
      </c>
      <c r="L63" s="7" t="s">
        <v>334</v>
      </c>
      <c r="V63" s="7" t="s">
        <v>2915</v>
      </c>
      <c r="X63" s="7" t="s">
        <v>1350</v>
      </c>
      <c r="AA63" s="7" t="s">
        <v>334</v>
      </c>
      <c r="AC63" s="7" t="s">
        <v>334</v>
      </c>
      <c r="AE63" s="7" t="s">
        <v>334</v>
      </c>
      <c r="AH63" s="7" t="s">
        <v>1331</v>
      </c>
      <c r="AI63" s="7">
        <v>20</v>
      </c>
      <c r="AJ63" s="13"/>
      <c r="AM63" s="7" t="s">
        <v>334</v>
      </c>
      <c r="AP63" s="7" t="s">
        <v>1331</v>
      </c>
      <c r="AQ63" s="7">
        <v>12</v>
      </c>
      <c r="AR63" s="13"/>
      <c r="AZ63" s="13"/>
      <c r="BE63" s="7" t="s">
        <v>334</v>
      </c>
      <c r="BH63" s="7" t="s">
        <v>334</v>
      </c>
      <c r="BK63" s="7" t="s">
        <v>1331</v>
      </c>
      <c r="BL63" s="7">
        <v>12</v>
      </c>
      <c r="BM63" s="13"/>
      <c r="CC63" s="7" t="s">
        <v>334</v>
      </c>
      <c r="CF63" s="7" t="s">
        <v>2988</v>
      </c>
      <c r="CH63" s="7" t="s">
        <v>251</v>
      </c>
      <c r="CI63" s="7" t="s">
        <v>1331</v>
      </c>
      <c r="CJ63" s="7" t="s">
        <v>1356</v>
      </c>
      <c r="DV63" s="7" t="s">
        <v>345</v>
      </c>
      <c r="DW63" s="7" t="s">
        <v>334</v>
      </c>
      <c r="DX63" s="7" t="s">
        <v>334</v>
      </c>
      <c r="EI63" s="7" t="s">
        <v>3007</v>
      </c>
      <c r="EK63" s="7" t="s">
        <v>356</v>
      </c>
      <c r="EL63" s="7">
        <v>2</v>
      </c>
      <c r="FG63" s="7" t="s">
        <v>1338</v>
      </c>
      <c r="FI63" s="7" t="s">
        <v>1354</v>
      </c>
      <c r="FJ63" s="7" t="s">
        <v>1462</v>
      </c>
    </row>
    <row r="64" spans="1:166" ht="38.25" x14ac:dyDescent="0.2">
      <c r="A64" s="6" t="s">
        <v>15</v>
      </c>
      <c r="B64" s="7" t="s">
        <v>2921</v>
      </c>
      <c r="D64" s="7" t="s">
        <v>334</v>
      </c>
      <c r="G64" s="7" t="s">
        <v>1328</v>
      </c>
      <c r="K64" s="7" t="s">
        <v>1352</v>
      </c>
      <c r="V64" s="7" t="s">
        <v>753</v>
      </c>
      <c r="X64" s="7" t="s">
        <v>1350</v>
      </c>
      <c r="AA64" s="7" t="s">
        <v>334</v>
      </c>
      <c r="AC64" s="7" t="s">
        <v>334</v>
      </c>
      <c r="AE64" s="7" t="s">
        <v>334</v>
      </c>
      <c r="AH64" s="7" t="s">
        <v>1353</v>
      </c>
      <c r="AR64" s="13"/>
      <c r="AU64" s="7" t="s">
        <v>334</v>
      </c>
      <c r="AX64" s="7" t="s">
        <v>1353</v>
      </c>
      <c r="AZ64" s="13"/>
      <c r="BC64" s="7" t="s">
        <v>334</v>
      </c>
      <c r="BE64" s="7" t="s">
        <v>334</v>
      </c>
      <c r="BH64" s="7" t="s">
        <v>334</v>
      </c>
      <c r="BK64" s="7" t="s">
        <v>1353</v>
      </c>
      <c r="BW64" s="13"/>
      <c r="FG64" s="7" t="s">
        <v>1338</v>
      </c>
      <c r="FI64" s="7" t="s">
        <v>1354</v>
      </c>
    </row>
    <row r="65" spans="1:166" x14ac:dyDescent="0.2">
      <c r="A65" s="21" t="s">
        <v>3357</v>
      </c>
      <c r="B65" s="7">
        <f t="shared" ref="B65:AG65" si="0">COUNTA(B3:B64)</f>
        <v>62</v>
      </c>
      <c r="C65" s="7">
        <f t="shared" si="0"/>
        <v>5</v>
      </c>
      <c r="D65" s="7">
        <f t="shared" si="0"/>
        <v>52</v>
      </c>
      <c r="E65" s="7">
        <f t="shared" si="0"/>
        <v>1</v>
      </c>
      <c r="F65" s="7">
        <f t="shared" si="0"/>
        <v>0</v>
      </c>
      <c r="G65" s="7">
        <f t="shared" si="0"/>
        <v>52</v>
      </c>
      <c r="H65" s="7">
        <f t="shared" si="0"/>
        <v>0</v>
      </c>
      <c r="I65" s="7">
        <f t="shared" si="0"/>
        <v>17</v>
      </c>
      <c r="J65" s="7">
        <f t="shared" si="0"/>
        <v>6</v>
      </c>
      <c r="K65" s="7">
        <f t="shared" si="0"/>
        <v>34</v>
      </c>
      <c r="L65" s="7">
        <f t="shared" si="0"/>
        <v>14</v>
      </c>
      <c r="M65" s="7">
        <f t="shared" si="0"/>
        <v>8</v>
      </c>
      <c r="N65" s="7">
        <f t="shared" si="0"/>
        <v>8</v>
      </c>
      <c r="O65" s="7">
        <f t="shared" si="0"/>
        <v>2</v>
      </c>
      <c r="P65" s="7">
        <f t="shared" si="0"/>
        <v>2</v>
      </c>
      <c r="Q65" s="7">
        <f t="shared" si="0"/>
        <v>1</v>
      </c>
      <c r="R65" s="7">
        <f t="shared" si="0"/>
        <v>2</v>
      </c>
      <c r="S65" s="7">
        <f t="shared" si="0"/>
        <v>0</v>
      </c>
      <c r="T65" s="7">
        <f t="shared" si="0"/>
        <v>2</v>
      </c>
      <c r="U65" s="7">
        <f t="shared" si="0"/>
        <v>1</v>
      </c>
      <c r="V65" s="7">
        <f t="shared" si="0"/>
        <v>51</v>
      </c>
      <c r="W65" s="7">
        <f t="shared" si="0"/>
        <v>2</v>
      </c>
      <c r="X65" s="7">
        <f t="shared" si="0"/>
        <v>46</v>
      </c>
      <c r="Y65" s="7">
        <f t="shared" si="0"/>
        <v>0</v>
      </c>
      <c r="Z65" s="7">
        <f t="shared" si="0"/>
        <v>3</v>
      </c>
      <c r="AA65" s="7">
        <f t="shared" si="0"/>
        <v>51</v>
      </c>
      <c r="AB65" s="7">
        <f t="shared" si="0"/>
        <v>2</v>
      </c>
      <c r="AC65" s="7">
        <f t="shared" si="0"/>
        <v>50</v>
      </c>
      <c r="AD65" s="7">
        <f t="shared" si="0"/>
        <v>1</v>
      </c>
      <c r="AE65" s="7">
        <f t="shared" si="0"/>
        <v>46</v>
      </c>
      <c r="AF65" s="7">
        <f t="shared" si="0"/>
        <v>7</v>
      </c>
      <c r="AG65" s="7">
        <f t="shared" si="0"/>
        <v>0</v>
      </c>
      <c r="AH65" s="7">
        <f t="shared" ref="AH65:BM65" si="1">COUNTA(AH3:AH64)</f>
        <v>45</v>
      </c>
      <c r="AI65" s="7">
        <f t="shared" si="1"/>
        <v>30</v>
      </c>
      <c r="AJ65" s="7">
        <f t="shared" si="1"/>
        <v>16</v>
      </c>
      <c r="AK65" s="7">
        <f t="shared" si="1"/>
        <v>18</v>
      </c>
      <c r="AL65" s="7">
        <f t="shared" si="1"/>
        <v>6</v>
      </c>
      <c r="AM65" s="7">
        <f t="shared" si="1"/>
        <v>33</v>
      </c>
      <c r="AN65" s="7">
        <f t="shared" si="1"/>
        <v>5</v>
      </c>
      <c r="AO65" s="7">
        <f t="shared" si="1"/>
        <v>0</v>
      </c>
      <c r="AP65" s="7">
        <f t="shared" si="1"/>
        <v>33</v>
      </c>
      <c r="AQ65" s="7">
        <f t="shared" si="1"/>
        <v>26</v>
      </c>
      <c r="AR65" s="7">
        <f t="shared" si="1"/>
        <v>7</v>
      </c>
      <c r="AS65" s="7">
        <f t="shared" si="1"/>
        <v>8</v>
      </c>
      <c r="AT65" s="7">
        <f t="shared" si="1"/>
        <v>3</v>
      </c>
      <c r="AU65" s="7">
        <f t="shared" si="1"/>
        <v>42</v>
      </c>
      <c r="AV65" s="7">
        <f t="shared" si="1"/>
        <v>8</v>
      </c>
      <c r="AW65" s="7">
        <f t="shared" si="1"/>
        <v>1</v>
      </c>
      <c r="AX65" s="7">
        <f t="shared" si="1"/>
        <v>41</v>
      </c>
      <c r="AY65" s="7">
        <f t="shared" si="1"/>
        <v>29</v>
      </c>
      <c r="AZ65" s="7">
        <f t="shared" si="1"/>
        <v>10</v>
      </c>
      <c r="BA65" s="7">
        <f t="shared" si="1"/>
        <v>11</v>
      </c>
      <c r="BB65" s="7">
        <f t="shared" si="1"/>
        <v>8</v>
      </c>
      <c r="BC65" s="7">
        <f t="shared" si="1"/>
        <v>42</v>
      </c>
      <c r="BD65" s="7">
        <f t="shared" si="1"/>
        <v>1</v>
      </c>
      <c r="BE65" s="7">
        <f t="shared" si="1"/>
        <v>39</v>
      </c>
      <c r="BF65" s="7">
        <f t="shared" si="1"/>
        <v>5</v>
      </c>
      <c r="BG65" s="7">
        <f t="shared" si="1"/>
        <v>1</v>
      </c>
      <c r="BH65" s="7">
        <f t="shared" si="1"/>
        <v>39</v>
      </c>
      <c r="BI65" s="7">
        <f t="shared" si="1"/>
        <v>5</v>
      </c>
      <c r="BJ65" s="7">
        <f t="shared" si="1"/>
        <v>4</v>
      </c>
      <c r="BK65" s="7">
        <f t="shared" si="1"/>
        <v>38</v>
      </c>
      <c r="BL65" s="7">
        <f t="shared" si="1"/>
        <v>28</v>
      </c>
      <c r="BM65" s="7">
        <f t="shared" si="1"/>
        <v>10</v>
      </c>
      <c r="BN65" s="7">
        <f t="shared" ref="BN65:CS65" si="2">COUNTA(BN3:BN64)</f>
        <v>11</v>
      </c>
      <c r="BO65" s="7">
        <f t="shared" si="2"/>
        <v>6</v>
      </c>
      <c r="BP65" s="7">
        <f t="shared" si="2"/>
        <v>22</v>
      </c>
      <c r="BQ65" s="7">
        <f t="shared" si="2"/>
        <v>1</v>
      </c>
      <c r="BR65" s="7">
        <f t="shared" si="2"/>
        <v>0</v>
      </c>
      <c r="BS65" s="7">
        <f t="shared" si="2"/>
        <v>21</v>
      </c>
      <c r="BT65" s="7">
        <f t="shared" si="2"/>
        <v>2</v>
      </c>
      <c r="BU65" s="7">
        <f t="shared" si="2"/>
        <v>20</v>
      </c>
      <c r="BV65" s="7">
        <f t="shared" si="2"/>
        <v>14</v>
      </c>
      <c r="BW65" s="7">
        <f t="shared" si="2"/>
        <v>2</v>
      </c>
      <c r="BX65" s="7">
        <f t="shared" si="2"/>
        <v>2</v>
      </c>
      <c r="BY65" s="7">
        <f t="shared" si="2"/>
        <v>4</v>
      </c>
      <c r="BZ65" s="7">
        <f t="shared" si="2"/>
        <v>20</v>
      </c>
      <c r="CA65" s="7">
        <f t="shared" si="2"/>
        <v>19</v>
      </c>
      <c r="CB65" s="7">
        <f t="shared" si="2"/>
        <v>7</v>
      </c>
      <c r="CC65" s="7">
        <f t="shared" si="2"/>
        <v>47</v>
      </c>
      <c r="CD65" s="7">
        <f t="shared" si="2"/>
        <v>1</v>
      </c>
      <c r="CE65" s="7">
        <f t="shared" si="2"/>
        <v>0</v>
      </c>
      <c r="CF65" s="7">
        <f t="shared" si="2"/>
        <v>47</v>
      </c>
      <c r="CG65" s="7">
        <f t="shared" si="2"/>
        <v>5</v>
      </c>
      <c r="CH65" s="7">
        <f t="shared" si="2"/>
        <v>47</v>
      </c>
      <c r="CI65" s="7">
        <f t="shared" si="2"/>
        <v>32</v>
      </c>
      <c r="CJ65" s="7">
        <f t="shared" si="2"/>
        <v>32</v>
      </c>
      <c r="CK65" s="7">
        <f t="shared" si="2"/>
        <v>0</v>
      </c>
      <c r="CL65" s="7">
        <f t="shared" si="2"/>
        <v>15</v>
      </c>
      <c r="CM65" s="7">
        <f t="shared" si="2"/>
        <v>15</v>
      </c>
      <c r="CN65" s="7">
        <f t="shared" si="2"/>
        <v>15</v>
      </c>
      <c r="CO65" s="7">
        <f t="shared" si="2"/>
        <v>10</v>
      </c>
      <c r="CP65" s="7">
        <f t="shared" si="2"/>
        <v>15</v>
      </c>
      <c r="CQ65" s="7">
        <f t="shared" si="2"/>
        <v>11</v>
      </c>
      <c r="CR65" s="7">
        <f t="shared" si="2"/>
        <v>3</v>
      </c>
      <c r="CS65" s="7">
        <f t="shared" si="2"/>
        <v>13</v>
      </c>
      <c r="CT65" s="7">
        <f t="shared" ref="CT65:DY65" si="3">COUNTA(CT3:CT64)</f>
        <v>14</v>
      </c>
      <c r="CU65" s="7">
        <f t="shared" si="3"/>
        <v>13</v>
      </c>
      <c r="CV65" s="7">
        <f t="shared" si="3"/>
        <v>10</v>
      </c>
      <c r="CW65" s="7">
        <f t="shared" si="3"/>
        <v>15</v>
      </c>
      <c r="CX65" s="7">
        <f t="shared" si="3"/>
        <v>15</v>
      </c>
      <c r="CY65" s="7">
        <f t="shared" si="3"/>
        <v>15</v>
      </c>
      <c r="CZ65" s="7">
        <f t="shared" si="3"/>
        <v>15</v>
      </c>
      <c r="DA65" s="7">
        <f t="shared" si="3"/>
        <v>10</v>
      </c>
      <c r="DB65" s="7">
        <f t="shared" si="3"/>
        <v>6</v>
      </c>
      <c r="DC65" s="7">
        <f t="shared" si="3"/>
        <v>1</v>
      </c>
      <c r="DD65" s="7">
        <f t="shared" si="3"/>
        <v>1</v>
      </c>
      <c r="DE65" s="7">
        <f t="shared" si="3"/>
        <v>1</v>
      </c>
      <c r="DF65" s="7">
        <f t="shared" si="3"/>
        <v>1</v>
      </c>
      <c r="DG65" s="7">
        <f t="shared" si="3"/>
        <v>0</v>
      </c>
      <c r="DH65" s="7">
        <f t="shared" si="3"/>
        <v>1</v>
      </c>
      <c r="DI65" s="7">
        <f t="shared" si="3"/>
        <v>1</v>
      </c>
      <c r="DJ65" s="7">
        <f t="shared" si="3"/>
        <v>0</v>
      </c>
      <c r="DK65" s="7">
        <f t="shared" si="3"/>
        <v>1</v>
      </c>
      <c r="DL65" s="7">
        <f t="shared" si="3"/>
        <v>1</v>
      </c>
      <c r="DM65" s="7">
        <f t="shared" si="3"/>
        <v>0</v>
      </c>
      <c r="DN65" s="7">
        <f t="shared" si="3"/>
        <v>0</v>
      </c>
      <c r="DO65" s="7">
        <f t="shared" si="3"/>
        <v>1</v>
      </c>
      <c r="DP65" s="7">
        <f t="shared" si="3"/>
        <v>1</v>
      </c>
      <c r="DQ65" s="7">
        <f t="shared" si="3"/>
        <v>1</v>
      </c>
      <c r="DR65" s="7">
        <f t="shared" si="3"/>
        <v>1</v>
      </c>
      <c r="DS65" s="7">
        <f t="shared" si="3"/>
        <v>0</v>
      </c>
      <c r="DT65" s="7">
        <f t="shared" si="3"/>
        <v>0</v>
      </c>
      <c r="DU65" s="7">
        <f t="shared" si="3"/>
        <v>1</v>
      </c>
      <c r="DV65" s="7">
        <f t="shared" si="3"/>
        <v>47</v>
      </c>
      <c r="DW65" s="7">
        <f t="shared" si="3"/>
        <v>47</v>
      </c>
      <c r="DX65" s="7">
        <f t="shared" si="3"/>
        <v>47</v>
      </c>
      <c r="DY65" s="7">
        <f t="shared" si="3"/>
        <v>8</v>
      </c>
      <c r="DZ65" s="7">
        <f t="shared" ref="DZ65:FE65" si="4">COUNTA(DZ3:DZ64)</f>
        <v>6</v>
      </c>
      <c r="EA65" s="7">
        <f t="shared" si="4"/>
        <v>0</v>
      </c>
      <c r="EB65" s="7">
        <f t="shared" si="4"/>
        <v>8</v>
      </c>
      <c r="EC65" s="7">
        <f t="shared" si="4"/>
        <v>8</v>
      </c>
      <c r="ED65" s="7">
        <f t="shared" si="4"/>
        <v>8</v>
      </c>
      <c r="EE65" s="7">
        <f t="shared" si="4"/>
        <v>8</v>
      </c>
      <c r="EF65" s="7">
        <f t="shared" si="4"/>
        <v>1</v>
      </c>
      <c r="EG65" s="7">
        <f t="shared" si="4"/>
        <v>19</v>
      </c>
      <c r="EH65" s="7">
        <f t="shared" si="4"/>
        <v>19</v>
      </c>
      <c r="EI65" s="7">
        <f t="shared" si="4"/>
        <v>33</v>
      </c>
      <c r="EJ65" s="7">
        <f t="shared" si="4"/>
        <v>7</v>
      </c>
      <c r="EK65" s="7">
        <f t="shared" si="4"/>
        <v>33</v>
      </c>
      <c r="EL65" s="7">
        <f t="shared" si="4"/>
        <v>23</v>
      </c>
      <c r="EM65" s="7">
        <f t="shared" si="4"/>
        <v>3</v>
      </c>
      <c r="EN65" s="7">
        <f t="shared" si="4"/>
        <v>0</v>
      </c>
      <c r="EO65" s="7">
        <f t="shared" si="4"/>
        <v>0</v>
      </c>
      <c r="EP65" s="7">
        <f t="shared" si="4"/>
        <v>0</v>
      </c>
      <c r="EQ65" s="7">
        <f t="shared" si="4"/>
        <v>1</v>
      </c>
      <c r="ER65" s="7">
        <f t="shared" si="4"/>
        <v>20</v>
      </c>
      <c r="ES65" s="7">
        <f t="shared" si="4"/>
        <v>4</v>
      </c>
      <c r="ET65" s="7">
        <f t="shared" si="4"/>
        <v>2</v>
      </c>
      <c r="EU65" s="7">
        <f t="shared" si="4"/>
        <v>0</v>
      </c>
      <c r="EV65" s="7">
        <f t="shared" si="4"/>
        <v>11</v>
      </c>
      <c r="EW65" s="7">
        <f t="shared" si="4"/>
        <v>3</v>
      </c>
      <c r="EX65" s="7">
        <f t="shared" si="4"/>
        <v>11</v>
      </c>
      <c r="EY65" s="7">
        <f t="shared" si="4"/>
        <v>3</v>
      </c>
      <c r="EZ65" s="7">
        <f t="shared" si="4"/>
        <v>14</v>
      </c>
      <c r="FA65" s="7">
        <f t="shared" si="4"/>
        <v>21</v>
      </c>
      <c r="FB65" s="7">
        <f t="shared" si="4"/>
        <v>1</v>
      </c>
      <c r="FC65" s="7">
        <f t="shared" si="4"/>
        <v>0</v>
      </c>
      <c r="FD65" s="7">
        <f t="shared" si="4"/>
        <v>26</v>
      </c>
      <c r="FE65" s="7">
        <f t="shared" si="4"/>
        <v>1</v>
      </c>
      <c r="FF65" s="7">
        <f t="shared" ref="FF65:FJ65" si="5">COUNTA(FF3:FF64)</f>
        <v>0</v>
      </c>
      <c r="FG65" s="7">
        <f t="shared" si="5"/>
        <v>60</v>
      </c>
      <c r="FH65" s="7">
        <f t="shared" si="5"/>
        <v>6</v>
      </c>
      <c r="FI65" s="7">
        <f t="shared" si="5"/>
        <v>61</v>
      </c>
      <c r="FJ65" s="7">
        <f t="shared" si="5"/>
        <v>15</v>
      </c>
    </row>
  </sheetData>
  <autoFilter ref="A2:FJ64" xr:uid="{671C1CEB-D35B-4A26-89B3-B843130A1DC3}"/>
  <sortState xmlns:xlrd2="http://schemas.microsoft.com/office/spreadsheetml/2017/richdata2" ref="A3:FJ64">
    <sortCondition ref="A3:A64"/>
  </sortState>
  <hyperlinks>
    <hyperlink ref="A1" location="Index!A1" display="Back to Index"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Index</vt:lpstr>
      <vt:lpstr>Demographics</vt:lpstr>
      <vt:lpstr>Supp. Healthcare</vt:lpstr>
      <vt:lpstr>Dental &amp; Vision</vt:lpstr>
      <vt:lpstr>Life, AD&amp;D, Critical Illness</vt:lpstr>
      <vt:lpstr>Sickness &amp; Disability</vt:lpstr>
      <vt:lpstr>Retirement</vt:lpstr>
      <vt:lpstr>Leaves</vt:lpstr>
      <vt:lpstr>Wellbeing</vt:lpstr>
      <vt:lpstr>Transportation</vt:lpstr>
      <vt:lpstr>Perqs &amp; Allowances</vt:lpstr>
      <vt:lpstr>Flexible Benefits</vt:lpstr>
      <vt:lpstr>Voluntary Benefits</vt:lpstr>
    </vt:vector>
  </TitlesOfParts>
  <Company>Gallagher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Annmarie Flaherty</dc:creator>
  <cp:lastModifiedBy>Matt Gismondi</cp:lastModifiedBy>
  <dcterms:created xsi:type="dcterms:W3CDTF">2022-10-25T16:44:33Z</dcterms:created>
  <dcterms:modified xsi:type="dcterms:W3CDTF">2022-11-28T22:42:23Z</dcterms:modified>
</cp:coreProperties>
</file>